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definedNames>
    <definedName name="_xlnm.Print_Titles" localSheetId="0">Лист1!$15:$17</definedName>
  </definedNames>
  <calcPr calcId="114210" fullCalcOnLoad="1"/>
</workbook>
</file>

<file path=xl/calcChain.xml><?xml version="1.0" encoding="utf-8"?>
<calcChain xmlns="http://schemas.openxmlformats.org/spreadsheetml/2006/main">
  <c r="J93" i="1"/>
  <c r="K93"/>
  <c r="D148"/>
  <c r="K156"/>
  <c r="K72"/>
  <c r="K30"/>
  <c r="G241"/>
  <c r="G240"/>
  <c r="G239"/>
  <c r="M156"/>
  <c r="M155"/>
  <c r="M93"/>
  <c r="L156"/>
  <c r="L93"/>
  <c r="L72"/>
  <c r="L30"/>
  <c r="G243"/>
  <c r="G156"/>
  <c r="G157"/>
  <c r="G246"/>
  <c r="G248"/>
  <c r="G93"/>
  <c r="G30"/>
  <c r="G72"/>
  <c r="G163"/>
  <c r="G226"/>
  <c r="G51"/>
  <c r="G142"/>
  <c r="K241"/>
  <c r="K240"/>
  <c r="M205"/>
  <c r="M226"/>
  <c r="M198"/>
  <c r="G198"/>
  <c r="M142"/>
  <c r="F93"/>
  <c r="F94"/>
  <c r="M30"/>
  <c r="M51"/>
  <c r="J86"/>
  <c r="M107"/>
  <c r="F107"/>
  <c r="F86"/>
  <c r="L75"/>
  <c r="L76"/>
  <c r="L77"/>
  <c r="L94"/>
  <c r="M213"/>
  <c r="M214"/>
  <c r="M212"/>
  <c r="M149"/>
  <c r="M178"/>
  <c r="M179"/>
  <c r="M171"/>
  <c r="M172"/>
  <c r="M170"/>
  <c r="L159"/>
  <c r="L160"/>
  <c r="L161"/>
  <c r="L158"/>
  <c r="L151"/>
  <c r="L157"/>
  <c r="L150"/>
  <c r="M94"/>
  <c r="L97"/>
  <c r="L98"/>
  <c r="L96"/>
  <c r="L95"/>
  <c r="M95"/>
  <c r="M80"/>
  <c r="M81"/>
  <c r="M79"/>
  <c r="L74"/>
  <c r="L73"/>
  <c r="M73"/>
  <c r="M74"/>
  <c r="M31"/>
  <c r="M32"/>
  <c r="L149"/>
  <c r="M129"/>
  <c r="M130"/>
  <c r="M128"/>
  <c r="M122"/>
  <c r="M123"/>
  <c r="M121"/>
  <c r="M115"/>
  <c r="M116"/>
  <c r="M114"/>
  <c r="M108"/>
  <c r="M109"/>
  <c r="M101"/>
  <c r="M102"/>
  <c r="M100"/>
  <c r="M72"/>
  <c r="F30"/>
  <c r="K23"/>
  <c r="F156"/>
  <c r="J158"/>
  <c r="J95"/>
  <c r="J74"/>
  <c r="J67"/>
  <c r="J32"/>
  <c r="K86"/>
  <c r="G219"/>
  <c r="E219"/>
  <c r="J219"/>
  <c r="J220"/>
  <c r="K158"/>
  <c r="K32"/>
  <c r="K94"/>
  <c r="K73"/>
  <c r="K157"/>
  <c r="K31"/>
  <c r="J157"/>
  <c r="J156"/>
  <c r="F95"/>
  <c r="K65"/>
  <c r="J30"/>
  <c r="J23"/>
  <c r="M218"/>
  <c r="M211"/>
  <c r="M197"/>
  <c r="M176"/>
  <c r="L169"/>
  <c r="M169"/>
  <c r="M127"/>
  <c r="M120"/>
  <c r="M113"/>
  <c r="M106"/>
  <c r="L99"/>
  <c r="M99"/>
  <c r="M78"/>
  <c r="M36"/>
  <c r="E231"/>
  <c r="E230"/>
  <c r="E229"/>
  <c r="E228"/>
  <c r="J227"/>
  <c r="J228"/>
  <c r="E227"/>
  <c r="D227"/>
  <c r="E226"/>
  <c r="E225"/>
  <c r="D226"/>
  <c r="K225"/>
  <c r="I225"/>
  <c r="H225"/>
  <c r="E224"/>
  <c r="E223"/>
  <c r="E222"/>
  <c r="E221"/>
  <c r="J221"/>
  <c r="E220"/>
  <c r="F219"/>
  <c r="F220"/>
  <c r="K218"/>
  <c r="I218"/>
  <c r="H218"/>
  <c r="G218"/>
  <c r="E217"/>
  <c r="E216"/>
  <c r="E215"/>
  <c r="E214"/>
  <c r="J213"/>
  <c r="J214"/>
  <c r="J215"/>
  <c r="H213"/>
  <c r="H214"/>
  <c r="E213"/>
  <c r="F212"/>
  <c r="F213"/>
  <c r="E212"/>
  <c r="D212"/>
  <c r="K211"/>
  <c r="I211"/>
  <c r="G211"/>
  <c r="E210"/>
  <c r="E209"/>
  <c r="E208"/>
  <c r="E207"/>
  <c r="E206"/>
  <c r="F205"/>
  <c r="F206"/>
  <c r="E205"/>
  <c r="K204"/>
  <c r="J204"/>
  <c r="I204"/>
  <c r="H204"/>
  <c r="G204"/>
  <c r="E203"/>
  <c r="E202"/>
  <c r="E201"/>
  <c r="E200"/>
  <c r="E199"/>
  <c r="F198"/>
  <c r="F199"/>
  <c r="E198"/>
  <c r="D198"/>
  <c r="K197"/>
  <c r="J197"/>
  <c r="I197"/>
  <c r="H197"/>
  <c r="G197"/>
  <c r="E196"/>
  <c r="E195"/>
  <c r="E194"/>
  <c r="E193"/>
  <c r="E192"/>
  <c r="E191"/>
  <c r="K190"/>
  <c r="J190"/>
  <c r="I190"/>
  <c r="H190"/>
  <c r="G190"/>
  <c r="F190"/>
  <c r="E190"/>
  <c r="E189"/>
  <c r="E188"/>
  <c r="E187"/>
  <c r="E186"/>
  <c r="E185"/>
  <c r="E184"/>
  <c r="K183"/>
  <c r="J183"/>
  <c r="I183"/>
  <c r="H183"/>
  <c r="G183"/>
  <c r="F183"/>
  <c r="E183"/>
  <c r="E182"/>
  <c r="E181"/>
  <c r="E180"/>
  <c r="E179"/>
  <c r="E178"/>
  <c r="F177"/>
  <c r="F178"/>
  <c r="E177"/>
  <c r="D177"/>
  <c r="K176"/>
  <c r="J176"/>
  <c r="I176"/>
  <c r="H176"/>
  <c r="G176"/>
  <c r="E175"/>
  <c r="E174"/>
  <c r="E173"/>
  <c r="E172"/>
  <c r="J171"/>
  <c r="J172"/>
  <c r="F171"/>
  <c r="F172"/>
  <c r="E171"/>
  <c r="D171"/>
  <c r="E170"/>
  <c r="D170"/>
  <c r="K169"/>
  <c r="I169"/>
  <c r="H169"/>
  <c r="G169"/>
  <c r="E168"/>
  <c r="E167"/>
  <c r="E166"/>
  <c r="E165"/>
  <c r="E164"/>
  <c r="F163"/>
  <c r="F164"/>
  <c r="E163"/>
  <c r="K162"/>
  <c r="J162"/>
  <c r="I162"/>
  <c r="H162"/>
  <c r="G162"/>
  <c r="E162"/>
  <c r="E161"/>
  <c r="E160"/>
  <c r="J159"/>
  <c r="J160"/>
  <c r="E159"/>
  <c r="G158"/>
  <c r="E156"/>
  <c r="K155"/>
  <c r="I155"/>
  <c r="H155"/>
  <c r="G155"/>
  <c r="K154"/>
  <c r="I154"/>
  <c r="G154"/>
  <c r="K153"/>
  <c r="I153"/>
  <c r="G153"/>
  <c r="K152"/>
  <c r="I152"/>
  <c r="G152"/>
  <c r="K151"/>
  <c r="I151"/>
  <c r="G151"/>
  <c r="K150"/>
  <c r="J150"/>
  <c r="I150"/>
  <c r="H150"/>
  <c r="G150"/>
  <c r="K149"/>
  <c r="J149"/>
  <c r="I149"/>
  <c r="H149"/>
  <c r="G149"/>
  <c r="E147"/>
  <c r="D147"/>
  <c r="E146"/>
  <c r="D146"/>
  <c r="E145"/>
  <c r="D145"/>
  <c r="E144"/>
  <c r="D144"/>
  <c r="E143"/>
  <c r="D143"/>
  <c r="E142"/>
  <c r="D142"/>
  <c r="K141"/>
  <c r="J141"/>
  <c r="I141"/>
  <c r="H141"/>
  <c r="G141"/>
  <c r="F141"/>
  <c r="E141"/>
  <c r="D141"/>
  <c r="E140"/>
  <c r="E139"/>
  <c r="E138"/>
  <c r="E137"/>
  <c r="E136"/>
  <c r="E135"/>
  <c r="K134"/>
  <c r="J134"/>
  <c r="I134"/>
  <c r="H134"/>
  <c r="G134"/>
  <c r="F134"/>
  <c r="E134"/>
  <c r="E133"/>
  <c r="E132"/>
  <c r="E131"/>
  <c r="E130"/>
  <c r="E129"/>
  <c r="F128"/>
  <c r="F129"/>
  <c r="E128"/>
  <c r="D128"/>
  <c r="K127"/>
  <c r="J127"/>
  <c r="I127"/>
  <c r="H127"/>
  <c r="G127"/>
  <c r="E126"/>
  <c r="E125"/>
  <c r="E124"/>
  <c r="F123"/>
  <c r="F124"/>
  <c r="E123"/>
  <c r="J122"/>
  <c r="J123"/>
  <c r="E122"/>
  <c r="D122"/>
  <c r="E121"/>
  <c r="D121"/>
  <c r="K120"/>
  <c r="I120"/>
  <c r="H120"/>
  <c r="G120"/>
  <c r="E120"/>
  <c r="E119"/>
  <c r="E118"/>
  <c r="F117"/>
  <c r="F118"/>
  <c r="E117"/>
  <c r="D117"/>
  <c r="E116"/>
  <c r="D116"/>
  <c r="E115"/>
  <c r="F114"/>
  <c r="F115"/>
  <c r="E114"/>
  <c r="E113"/>
  <c r="D114"/>
  <c r="K113"/>
  <c r="J113"/>
  <c r="I113"/>
  <c r="H113"/>
  <c r="G113"/>
  <c r="E112"/>
  <c r="E111"/>
  <c r="E110"/>
  <c r="E109"/>
  <c r="E108"/>
  <c r="F108"/>
  <c r="E107"/>
  <c r="D107"/>
  <c r="K106"/>
  <c r="J106"/>
  <c r="I106"/>
  <c r="H106"/>
  <c r="G106"/>
  <c r="E105"/>
  <c r="E104"/>
  <c r="E103"/>
  <c r="E102"/>
  <c r="F101"/>
  <c r="F102"/>
  <c r="E101"/>
  <c r="D101"/>
  <c r="E100"/>
  <c r="E99"/>
  <c r="D100"/>
  <c r="K99"/>
  <c r="J99"/>
  <c r="I99"/>
  <c r="H99"/>
  <c r="G99"/>
  <c r="E98"/>
  <c r="J96"/>
  <c r="J97"/>
  <c r="G95"/>
  <c r="E95"/>
  <c r="J94"/>
  <c r="J87"/>
  <c r="G94"/>
  <c r="E93"/>
  <c r="K92"/>
  <c r="I92"/>
  <c r="H92"/>
  <c r="G92"/>
  <c r="K91"/>
  <c r="I91"/>
  <c r="H91"/>
  <c r="G91"/>
  <c r="K90"/>
  <c r="I90"/>
  <c r="H90"/>
  <c r="G90"/>
  <c r="K89"/>
  <c r="I89"/>
  <c r="H89"/>
  <c r="G89"/>
  <c r="K88"/>
  <c r="I88"/>
  <c r="H88"/>
  <c r="G88"/>
  <c r="K87"/>
  <c r="I87"/>
  <c r="H87"/>
  <c r="G87"/>
  <c r="I86"/>
  <c r="H86"/>
  <c r="G86"/>
  <c r="E84"/>
  <c r="E83"/>
  <c r="E82"/>
  <c r="E81"/>
  <c r="F80"/>
  <c r="F81"/>
  <c r="E80"/>
  <c r="D80"/>
  <c r="E79"/>
  <c r="E78"/>
  <c r="D79"/>
  <c r="K78"/>
  <c r="J78"/>
  <c r="I78"/>
  <c r="H78"/>
  <c r="G78"/>
  <c r="E77"/>
  <c r="E76"/>
  <c r="E75"/>
  <c r="G74"/>
  <c r="E74"/>
  <c r="J73"/>
  <c r="G73"/>
  <c r="E73"/>
  <c r="J72"/>
  <c r="J65"/>
  <c r="F72"/>
  <c r="F73"/>
  <c r="E72"/>
  <c r="K71"/>
  <c r="I71"/>
  <c r="H71"/>
  <c r="G71"/>
  <c r="K70"/>
  <c r="I70"/>
  <c r="H70"/>
  <c r="G70"/>
  <c r="K69"/>
  <c r="I69"/>
  <c r="H69"/>
  <c r="G69"/>
  <c r="K68"/>
  <c r="I68"/>
  <c r="H68"/>
  <c r="G68"/>
  <c r="K67"/>
  <c r="I67"/>
  <c r="H67"/>
  <c r="G67"/>
  <c r="K66"/>
  <c r="K64"/>
  <c r="J66"/>
  <c r="I66"/>
  <c r="H66"/>
  <c r="G66"/>
  <c r="I65"/>
  <c r="H65"/>
  <c r="G65"/>
  <c r="F65"/>
  <c r="E63"/>
  <c r="D63"/>
  <c r="E62"/>
  <c r="D62"/>
  <c r="E61"/>
  <c r="D61"/>
  <c r="E60"/>
  <c r="D60"/>
  <c r="E59"/>
  <c r="D59"/>
  <c r="E58"/>
  <c r="D58"/>
  <c r="K57"/>
  <c r="J57"/>
  <c r="I57"/>
  <c r="H57"/>
  <c r="G57"/>
  <c r="F57"/>
  <c r="E57"/>
  <c r="D57"/>
  <c r="E56"/>
  <c r="E55"/>
  <c r="E54"/>
  <c r="E53"/>
  <c r="D53"/>
  <c r="E52"/>
  <c r="D52"/>
  <c r="E51"/>
  <c r="D51"/>
  <c r="K50"/>
  <c r="J50"/>
  <c r="I50"/>
  <c r="H50"/>
  <c r="G50"/>
  <c r="F50"/>
  <c r="E50"/>
  <c r="E49"/>
  <c r="D49"/>
  <c r="E48"/>
  <c r="D48"/>
  <c r="E47"/>
  <c r="D47"/>
  <c r="E46"/>
  <c r="D46"/>
  <c r="E45"/>
  <c r="D45"/>
  <c r="E44"/>
  <c r="D44"/>
  <c r="K43"/>
  <c r="J43"/>
  <c r="I43"/>
  <c r="H43"/>
  <c r="G43"/>
  <c r="F43"/>
  <c r="E43"/>
  <c r="D43"/>
  <c r="E42"/>
  <c r="E41"/>
  <c r="E40"/>
  <c r="E39"/>
  <c r="H38"/>
  <c r="H39"/>
  <c r="F38"/>
  <c r="F39"/>
  <c r="E38"/>
  <c r="J37"/>
  <c r="J38"/>
  <c r="E37"/>
  <c r="E36"/>
  <c r="D37"/>
  <c r="K36"/>
  <c r="I36"/>
  <c r="G36"/>
  <c r="E35"/>
  <c r="E34"/>
  <c r="E33"/>
  <c r="G32"/>
  <c r="E32"/>
  <c r="J31"/>
  <c r="G31"/>
  <c r="E31"/>
  <c r="E30"/>
  <c r="E29"/>
  <c r="K29"/>
  <c r="I29"/>
  <c r="H29"/>
  <c r="G29"/>
  <c r="K28"/>
  <c r="I28"/>
  <c r="G28"/>
  <c r="K27"/>
  <c r="I27"/>
  <c r="G27"/>
  <c r="K26"/>
  <c r="I26"/>
  <c r="G26"/>
  <c r="K25"/>
  <c r="I25"/>
  <c r="G25"/>
  <c r="K24"/>
  <c r="I24"/>
  <c r="H24"/>
  <c r="G24"/>
  <c r="I23"/>
  <c r="H23"/>
  <c r="G23"/>
  <c r="P23"/>
  <c r="P25"/>
  <c r="Q23"/>
  <c r="Q25"/>
  <c r="E169"/>
  <c r="E71"/>
  <c r="D219"/>
  <c r="D72"/>
  <c r="E176"/>
  <c r="E106"/>
  <c r="J39"/>
  <c r="J40"/>
  <c r="J41"/>
  <c r="J42"/>
  <c r="D38"/>
  <c r="J24"/>
  <c r="H40"/>
  <c r="H25"/>
  <c r="J229"/>
  <c r="D228"/>
  <c r="E127"/>
  <c r="G233"/>
  <c r="G244"/>
  <c r="H233"/>
  <c r="I233"/>
  <c r="J233"/>
  <c r="K233"/>
  <c r="K239"/>
  <c r="G234"/>
  <c r="H234"/>
  <c r="K234"/>
  <c r="G235"/>
  <c r="I235"/>
  <c r="K235"/>
  <c r="G236"/>
  <c r="I236"/>
  <c r="K236"/>
  <c r="G237"/>
  <c r="I237"/>
  <c r="K237"/>
  <c r="G238"/>
  <c r="I238"/>
  <c r="K238"/>
  <c r="E197"/>
  <c r="E204"/>
  <c r="E211"/>
  <c r="E218"/>
  <c r="F165"/>
  <c r="J173"/>
  <c r="J151"/>
  <c r="D199"/>
  <c r="F200"/>
  <c r="D213"/>
  <c r="F214"/>
  <c r="H215"/>
  <c r="H151"/>
  <c r="H235"/>
  <c r="F157"/>
  <c r="F149"/>
  <c r="J161"/>
  <c r="J155"/>
  <c r="F173"/>
  <c r="D172"/>
  <c r="D178"/>
  <c r="F179"/>
  <c r="F207"/>
  <c r="J216"/>
  <c r="J217"/>
  <c r="J211"/>
  <c r="F221"/>
  <c r="D220"/>
  <c r="J222"/>
  <c r="J223"/>
  <c r="J224"/>
  <c r="D229"/>
  <c r="J230"/>
  <c r="F103"/>
  <c r="D102"/>
  <c r="D115"/>
  <c r="F119"/>
  <c r="D123"/>
  <c r="J88"/>
  <c r="J124"/>
  <c r="F125"/>
  <c r="D124"/>
  <c r="J98"/>
  <c r="D108"/>
  <c r="F109"/>
  <c r="F130"/>
  <c r="D129"/>
  <c r="J75"/>
  <c r="D81"/>
  <c r="F82"/>
  <c r="F74"/>
  <c r="F66"/>
  <c r="D73"/>
  <c r="F31"/>
  <c r="F23"/>
  <c r="J33"/>
  <c r="J25"/>
  <c r="D39"/>
  <c r="F40"/>
  <c r="H41"/>
  <c r="H26"/>
  <c r="J36"/>
  <c r="I64"/>
  <c r="H64"/>
  <c r="G64"/>
  <c r="J234"/>
  <c r="F233"/>
  <c r="G232"/>
  <c r="J235"/>
  <c r="K232"/>
  <c r="I232"/>
  <c r="J231"/>
  <c r="D230"/>
  <c r="F222"/>
  <c r="D221"/>
  <c r="F208"/>
  <c r="F158"/>
  <c r="F150"/>
  <c r="H216"/>
  <c r="H152"/>
  <c r="H236"/>
  <c r="F215"/>
  <c r="D214"/>
  <c r="J218"/>
  <c r="F180"/>
  <c r="D179"/>
  <c r="F174"/>
  <c r="D173"/>
  <c r="F201"/>
  <c r="D200"/>
  <c r="J174"/>
  <c r="J152"/>
  <c r="F166"/>
  <c r="D130"/>
  <c r="F131"/>
  <c r="D103"/>
  <c r="F104"/>
  <c r="J92"/>
  <c r="F87"/>
  <c r="F126"/>
  <c r="J89"/>
  <c r="J125"/>
  <c r="F106"/>
  <c r="F113"/>
  <c r="D74"/>
  <c r="F67"/>
  <c r="F75"/>
  <c r="F83"/>
  <c r="D82"/>
  <c r="J76"/>
  <c r="J69"/>
  <c r="J68"/>
  <c r="F41"/>
  <c r="D40"/>
  <c r="J34"/>
  <c r="J26"/>
  <c r="F32"/>
  <c r="F24"/>
  <c r="H42"/>
  <c r="H27"/>
  <c r="J236"/>
  <c r="F167"/>
  <c r="J175"/>
  <c r="J154"/>
  <c r="J153"/>
  <c r="F202"/>
  <c r="F175"/>
  <c r="D175"/>
  <c r="D174"/>
  <c r="F169"/>
  <c r="D180"/>
  <c r="F181"/>
  <c r="F234"/>
  <c r="F209"/>
  <c r="F223"/>
  <c r="D222"/>
  <c r="D231"/>
  <c r="J225"/>
  <c r="D215"/>
  <c r="F216"/>
  <c r="H217"/>
  <c r="H154"/>
  <c r="H153"/>
  <c r="H237"/>
  <c r="H211"/>
  <c r="F159"/>
  <c r="F151"/>
  <c r="D225"/>
  <c r="J169"/>
  <c r="J126"/>
  <c r="J91"/>
  <c r="J90"/>
  <c r="J120"/>
  <c r="F96"/>
  <c r="F88"/>
  <c r="F120"/>
  <c r="F105"/>
  <c r="D104"/>
  <c r="F132"/>
  <c r="J77"/>
  <c r="J70"/>
  <c r="J64"/>
  <c r="J71"/>
  <c r="F84"/>
  <c r="F78"/>
  <c r="F68"/>
  <c r="F76"/>
  <c r="D75"/>
  <c r="H28"/>
  <c r="H36"/>
  <c r="F33"/>
  <c r="D32"/>
  <c r="F25"/>
  <c r="J35"/>
  <c r="J28"/>
  <c r="J22"/>
  <c r="J27"/>
  <c r="D41"/>
  <c r="F42"/>
  <c r="F36"/>
  <c r="J29"/>
  <c r="D169"/>
  <c r="H238"/>
  <c r="H232"/>
  <c r="J237"/>
  <c r="J238"/>
  <c r="F235"/>
  <c r="F160"/>
  <c r="F152"/>
  <c r="F224"/>
  <c r="F210"/>
  <c r="F182"/>
  <c r="F217"/>
  <c r="F203"/>
  <c r="F168"/>
  <c r="F133"/>
  <c r="F127"/>
  <c r="D105"/>
  <c r="D99"/>
  <c r="F99"/>
  <c r="F97"/>
  <c r="F89"/>
  <c r="F69"/>
  <c r="F77"/>
  <c r="D76"/>
  <c r="F34"/>
  <c r="F26"/>
  <c r="M152"/>
  <c r="E152"/>
  <c r="M153"/>
  <c r="E153"/>
  <c r="M154"/>
  <c r="E154"/>
  <c r="M88"/>
  <c r="M91"/>
  <c r="M86"/>
  <c r="M24"/>
  <c r="L25"/>
  <c r="M25"/>
  <c r="M26"/>
  <c r="E26"/>
  <c r="M27"/>
  <c r="E27"/>
  <c r="M28"/>
  <c r="E28"/>
  <c r="M23"/>
  <c r="E23"/>
  <c r="M225"/>
  <c r="M141"/>
  <c r="L54"/>
  <c r="D54"/>
  <c r="M50"/>
  <c r="E86"/>
  <c r="E149"/>
  <c r="E91"/>
  <c r="E88"/>
  <c r="D25"/>
  <c r="E24"/>
  <c r="E25"/>
  <c r="J232"/>
  <c r="F236"/>
  <c r="F161"/>
  <c r="F153"/>
  <c r="F155"/>
  <c r="F162"/>
  <c r="F197"/>
  <c r="F176"/>
  <c r="F204"/>
  <c r="F218"/>
  <c r="F211"/>
  <c r="F98"/>
  <c r="F90"/>
  <c r="F70"/>
  <c r="D77"/>
  <c r="D71"/>
  <c r="F71"/>
  <c r="F35"/>
  <c r="F27"/>
  <c r="F29"/>
  <c r="L55"/>
  <c r="D55"/>
  <c r="L225"/>
  <c r="L56"/>
  <c r="D56"/>
  <c r="M65"/>
  <c r="L42"/>
  <c r="D33"/>
  <c r="L206"/>
  <c r="D206"/>
  <c r="L207"/>
  <c r="D207"/>
  <c r="L208"/>
  <c r="D208"/>
  <c r="L209"/>
  <c r="D209"/>
  <c r="L210"/>
  <c r="D210"/>
  <c r="D205"/>
  <c r="L192"/>
  <c r="D192"/>
  <c r="L193"/>
  <c r="D193"/>
  <c r="L194"/>
  <c r="D194"/>
  <c r="L195"/>
  <c r="D195"/>
  <c r="L196"/>
  <c r="D196"/>
  <c r="L191"/>
  <c r="D191"/>
  <c r="D190"/>
  <c r="L185"/>
  <c r="D185"/>
  <c r="L186"/>
  <c r="D186"/>
  <c r="L187"/>
  <c r="D187"/>
  <c r="L188"/>
  <c r="D188"/>
  <c r="L189"/>
  <c r="D189"/>
  <c r="L184"/>
  <c r="D184"/>
  <c r="D183"/>
  <c r="L164"/>
  <c r="L163"/>
  <c r="D163"/>
  <c r="D156"/>
  <c r="L136"/>
  <c r="D136"/>
  <c r="L137"/>
  <c r="D137"/>
  <c r="L138"/>
  <c r="D138"/>
  <c r="L139"/>
  <c r="D139"/>
  <c r="L140"/>
  <c r="D140"/>
  <c r="L135"/>
  <c r="D135"/>
  <c r="D134"/>
  <c r="E94"/>
  <c r="E65"/>
  <c r="D201"/>
  <c r="D109"/>
  <c r="D42"/>
  <c r="D36"/>
  <c r="L36"/>
  <c r="D204"/>
  <c r="D50"/>
  <c r="L23"/>
  <c r="D23"/>
  <c r="D30"/>
  <c r="L24"/>
  <c r="D31"/>
  <c r="L86"/>
  <c r="D86"/>
  <c r="D93"/>
  <c r="L165"/>
  <c r="D164"/>
  <c r="D217"/>
  <c r="D216"/>
  <c r="D211"/>
  <c r="D224"/>
  <c r="D223"/>
  <c r="D84"/>
  <c r="D83"/>
  <c r="D78"/>
  <c r="F237"/>
  <c r="F154"/>
  <c r="F91"/>
  <c r="F92"/>
  <c r="F28"/>
  <c r="L50"/>
  <c r="D94"/>
  <c r="M87"/>
  <c r="D149"/>
  <c r="D34"/>
  <c r="L26"/>
  <c r="D110"/>
  <c r="E87"/>
  <c r="D26"/>
  <c r="D24"/>
  <c r="L218"/>
  <c r="L211"/>
  <c r="D181"/>
  <c r="L78"/>
  <c r="D119"/>
  <c r="D118"/>
  <c r="D126"/>
  <c r="D125"/>
  <c r="D131"/>
  <c r="D203"/>
  <c r="D202"/>
  <c r="L166"/>
  <c r="D165"/>
  <c r="D218"/>
  <c r="F238"/>
  <c r="L27"/>
  <c r="D95"/>
  <c r="L87"/>
  <c r="D182"/>
  <c r="D176"/>
  <c r="D111"/>
  <c r="L141"/>
  <c r="L65"/>
  <c r="D65"/>
  <c r="L66"/>
  <c r="M66"/>
  <c r="L67"/>
  <c r="M67"/>
  <c r="M68"/>
  <c r="E68"/>
  <c r="D87"/>
  <c r="D67"/>
  <c r="D66"/>
  <c r="E67"/>
  <c r="E66"/>
  <c r="D27"/>
  <c r="L197"/>
  <c r="L176"/>
  <c r="L120"/>
  <c r="L113"/>
  <c r="D113"/>
  <c r="M89"/>
  <c r="E96"/>
  <c r="L28"/>
  <c r="D35"/>
  <c r="D29"/>
  <c r="L167"/>
  <c r="D166"/>
  <c r="D133"/>
  <c r="D127"/>
  <c r="D132"/>
  <c r="D197"/>
  <c r="D120"/>
  <c r="F232"/>
  <c r="D96"/>
  <c r="L88"/>
  <c r="D112"/>
  <c r="D106"/>
  <c r="L68"/>
  <c r="L233"/>
  <c r="D233"/>
  <c r="D68"/>
  <c r="E89"/>
  <c r="D88"/>
  <c r="D28"/>
  <c r="L127"/>
  <c r="L106"/>
  <c r="M90"/>
  <c r="E97"/>
  <c r="L168"/>
  <c r="D168"/>
  <c r="D167"/>
  <c r="E92"/>
  <c r="D97"/>
  <c r="L89"/>
  <c r="L69"/>
  <c r="M69"/>
  <c r="E69"/>
  <c r="D69"/>
  <c r="E90"/>
  <c r="D89"/>
  <c r="D162"/>
  <c r="L90"/>
  <c r="F85"/>
  <c r="L70"/>
  <c r="M70"/>
  <c r="D70"/>
  <c r="D90"/>
  <c r="E70"/>
  <c r="E64"/>
  <c r="L91"/>
  <c r="D98"/>
  <c r="D92"/>
  <c r="F64"/>
  <c r="D91"/>
  <c r="D64"/>
  <c r="M204"/>
  <c r="L204"/>
  <c r="M190"/>
  <c r="L190"/>
  <c r="M183"/>
  <c r="L183"/>
  <c r="M162"/>
  <c r="L162"/>
  <c r="M134"/>
  <c r="L134"/>
  <c r="F22"/>
  <c r="L71"/>
  <c r="M71"/>
  <c r="L43"/>
  <c r="M43"/>
  <c r="L29"/>
  <c r="M29"/>
  <c r="F148"/>
  <c r="G148"/>
  <c r="H148"/>
  <c r="I148"/>
  <c r="J148"/>
  <c r="H85"/>
  <c r="I85"/>
  <c r="J85"/>
  <c r="L64"/>
  <c r="M64"/>
  <c r="H22"/>
  <c r="L22"/>
  <c r="M22"/>
  <c r="D22"/>
  <c r="G85"/>
  <c r="K85"/>
  <c r="K148"/>
  <c r="K22"/>
  <c r="G22"/>
  <c r="I22"/>
  <c r="E22"/>
  <c r="M92"/>
  <c r="L92"/>
  <c r="M237"/>
  <c r="E237"/>
  <c r="M233"/>
  <c r="E233"/>
  <c r="D85"/>
  <c r="M238"/>
  <c r="E238"/>
  <c r="M236"/>
  <c r="E236"/>
  <c r="M85"/>
  <c r="L85"/>
  <c r="E85"/>
  <c r="D158"/>
  <c r="M158"/>
  <c r="E158"/>
  <c r="D151"/>
  <c r="D159"/>
  <c r="L152"/>
  <c r="L153"/>
  <c r="L235"/>
  <c r="D235"/>
  <c r="M151"/>
  <c r="D152"/>
  <c r="L236"/>
  <c r="D236"/>
  <c r="M235"/>
  <c r="E235"/>
  <c r="E151"/>
  <c r="L154"/>
  <c r="D160"/>
  <c r="D153"/>
  <c r="L237"/>
  <c r="D237"/>
  <c r="D161"/>
  <c r="D154"/>
  <c r="L238"/>
  <c r="D238"/>
  <c r="L155"/>
  <c r="D157"/>
  <c r="D155"/>
  <c r="D150"/>
  <c r="M157"/>
  <c r="L148"/>
  <c r="M150"/>
  <c r="L234"/>
  <c r="E157"/>
  <c r="E155"/>
  <c r="L232"/>
  <c r="D234"/>
  <c r="D232"/>
  <c r="M148"/>
  <c r="M234"/>
  <c r="E150"/>
  <c r="E148"/>
  <c r="M232"/>
  <c r="E234"/>
  <c r="E232"/>
</calcChain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J30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F107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J10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12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фнр 5 школа
</t>
        </r>
      </text>
    </comment>
    <comment ref="G21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890 фнр к дню победы
</t>
        </r>
      </text>
    </comment>
  </commentList>
</comments>
</file>

<file path=xl/sharedStrings.xml><?xml version="1.0" encoding="utf-8"?>
<sst xmlns="http://schemas.openxmlformats.org/spreadsheetml/2006/main" count="288" uniqueCount="67">
  <si>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</si>
  <si>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</si>
  <si>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</si>
  <si>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</si>
  <si>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</si>
  <si>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</si>
  <si>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</si>
  <si>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</si>
  <si>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</si>
  <si>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</si>
  <si>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</si>
  <si>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</si>
  <si>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</si>
  <si>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</si>
  <si>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</si>
  <si>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</si>
  <si>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</si>
  <si>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</si>
  <si>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</si>
  <si>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</si>
  <si>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</si>
  <si>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</si>
  <si>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</si>
  <si>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</si>
  <si>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</si>
  <si>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</si>
  <si>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</si>
  <si>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</si>
  <si>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</si>
  <si>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</si>
  <si>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</si>
  <si>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</si>
  <si>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</si>
  <si>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</si>
  <si>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</si>
  <si>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</si>
  <si>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</si>
  <si>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</si>
  <si>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</si>
  <si>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</si>
  <si>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</si>
  <si>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</si>
  <si>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</si>
  <si>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</si>
  <si>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</si>
  <si>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</si>
  <si>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</si>
  <si>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</si>
  <si>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</si>
  <si>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</si>
  <si>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</si>
  <si>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</si>
  <si>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</si>
  <si>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</si>
  <si>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</si>
  <si>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</si>
  <si>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</si>
  <si>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</si>
  <si>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</si>
  <si>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</si>
  <si>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</si>
  <si>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</si>
  <si>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</si>
  <si>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к постановлению</t>
  </si>
  <si>
    <t xml:space="preserve">Приложение 4
к постановлению
администрации Города Томска от    №
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</si>
  <si>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</si>
  <si>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администрации Города Томска от 30.12.2015 № 1344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</si>
</sst>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_р_._-;\-* #,##0_р_._-;_-* &quot;-&quot;?_р_._-;_-@_-"/>
  </numFmts>
  <fonts count="1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2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8"/>
  <sheetViews>
    <sheetView tabSelected="1" topLeftCell="A13" workbookViewId="0">
      <pane ySplit="1140" activePane="bottomLeft"/>
      <selection activeCell="O13" sqref="O1:Q65536"/>
      <selection pane="bottomLeft" activeCell="A3" sqref="A3:N3"/>
    </sheetView>
  </sheetViews>
  <sheetFormatPr defaultRowHeight="15.75"/>
  <cols>
    <col min="1" max="1" width="3.875" style="6" customWidth="1"/>
    <col min="2" max="2" width="23.625" style="7" customWidth="1"/>
    <col min="3" max="3" width="9" style="8"/>
    <col min="4" max="4" width="11.5" style="9" customWidth="1"/>
    <col min="5" max="5" width="11.25" style="9" customWidth="1"/>
    <col min="6" max="6" width="11.875" style="8" customWidth="1"/>
    <col min="7" max="7" width="13.125" style="8" customWidth="1"/>
    <col min="8" max="8" width="8.25" style="8" customWidth="1"/>
    <col min="9" max="9" width="7.375" style="8" customWidth="1"/>
    <col min="10" max="10" width="11.5" style="8" customWidth="1"/>
    <col min="11" max="11" width="13" style="8" customWidth="1"/>
    <col min="12" max="13" width="9.125" style="8" customWidth="1"/>
    <col min="14" max="14" width="6.5" style="10" customWidth="1"/>
    <col min="15" max="15" width="6.5" style="6" hidden="1" customWidth="1"/>
    <col min="16" max="16" width="11.625" style="6" hidden="1" customWidth="1"/>
    <col min="17" max="17" width="10.625" style="6" hidden="1" customWidth="1"/>
    <col min="18" max="19" width="6.5" style="6" customWidth="1"/>
    <col min="20" max="16384" width="9" style="6"/>
  </cols>
  <sheetData>
    <row r="1" spans="1:15">
      <c r="A1" s="52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5">
      <c r="A3" s="53" t="s">
        <v>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>
      <c r="A5" s="4"/>
      <c r="K5" s="45" t="s">
        <v>65</v>
      </c>
      <c r="L5" s="45"/>
      <c r="M5" s="45"/>
      <c r="N5" s="45"/>
    </row>
    <row r="6" spans="1:15">
      <c r="A6" s="4"/>
      <c r="K6" s="45"/>
      <c r="L6" s="45"/>
      <c r="M6" s="45"/>
      <c r="N6" s="45"/>
    </row>
    <row r="7" spans="1:15">
      <c r="A7" s="4"/>
      <c r="K7" s="45"/>
      <c r="L7" s="45"/>
      <c r="M7" s="45"/>
      <c r="N7" s="45"/>
    </row>
    <row r="8" spans="1:15" ht="40.5" customHeight="1">
      <c r="A8" s="4"/>
      <c r="K8" s="45"/>
      <c r="L8" s="45"/>
      <c r="M8" s="45"/>
      <c r="N8" s="45"/>
    </row>
    <row r="9" spans="1:15">
      <c r="A9" s="26"/>
    </row>
    <row r="10" spans="1:15">
      <c r="A10" s="44" t="s">
        <v>60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5">
      <c r="A11" s="26"/>
    </row>
    <row r="12" spans="1:15" ht="18.75" hidden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5">
      <c r="A13" s="26"/>
    </row>
    <row r="14" spans="1:15">
      <c r="A14" s="26"/>
    </row>
    <row r="15" spans="1:15" ht="25.5" customHeight="1">
      <c r="A15" s="55" t="s">
        <v>0</v>
      </c>
      <c r="B15" s="35" t="s">
        <v>1</v>
      </c>
      <c r="C15" s="55" t="s">
        <v>2</v>
      </c>
      <c r="D15" s="46" t="s">
        <v>41</v>
      </c>
      <c r="E15" s="46"/>
      <c r="F15" s="55" t="s">
        <v>3</v>
      </c>
      <c r="G15" s="55"/>
      <c r="H15" s="55"/>
      <c r="I15" s="55"/>
      <c r="J15" s="55"/>
      <c r="K15" s="55"/>
      <c r="L15" s="55"/>
      <c r="M15" s="55"/>
      <c r="N15" s="55" t="s">
        <v>4</v>
      </c>
      <c r="O15" s="11"/>
    </row>
    <row r="16" spans="1:15">
      <c r="A16" s="55"/>
      <c r="B16" s="36"/>
      <c r="C16" s="55"/>
      <c r="D16" s="46"/>
      <c r="E16" s="46"/>
      <c r="F16" s="55" t="s">
        <v>5</v>
      </c>
      <c r="G16" s="55"/>
      <c r="H16" s="55" t="s">
        <v>6</v>
      </c>
      <c r="I16" s="55"/>
      <c r="J16" s="55" t="s">
        <v>7</v>
      </c>
      <c r="K16" s="55"/>
      <c r="L16" s="55" t="s">
        <v>8</v>
      </c>
      <c r="M16" s="55"/>
      <c r="N16" s="55"/>
      <c r="O16" s="11"/>
    </row>
    <row r="17" spans="1:19" s="4" customFormat="1" ht="25.5">
      <c r="A17" s="55"/>
      <c r="B17" s="43"/>
      <c r="C17" s="55"/>
      <c r="D17" s="24" t="s">
        <v>9</v>
      </c>
      <c r="E17" s="24" t="s">
        <v>10</v>
      </c>
      <c r="F17" s="24" t="s">
        <v>9</v>
      </c>
      <c r="G17" s="24" t="s">
        <v>10</v>
      </c>
      <c r="H17" s="24" t="s">
        <v>9</v>
      </c>
      <c r="I17" s="24" t="s">
        <v>10</v>
      </c>
      <c r="J17" s="24" t="s">
        <v>9</v>
      </c>
      <c r="K17" s="24" t="s">
        <v>10</v>
      </c>
      <c r="L17" s="24" t="s">
        <v>9</v>
      </c>
      <c r="M17" s="24" t="s">
        <v>10</v>
      </c>
      <c r="N17" s="24"/>
      <c r="O17" s="12"/>
    </row>
    <row r="18" spans="1:19" s="8" customFormat="1">
      <c r="A18" s="24">
        <v>1</v>
      </c>
      <c r="B18" s="24">
        <v>2</v>
      </c>
      <c r="C18" s="24">
        <v>3</v>
      </c>
      <c r="D18" s="25">
        <v>4</v>
      </c>
      <c r="E18" s="25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13"/>
    </row>
    <row r="19" spans="1:19" ht="19.5" customHeight="1">
      <c r="A19" s="57" t="s">
        <v>55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1"/>
    </row>
    <row r="20" spans="1:19" ht="16.5" hidden="1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1"/>
    </row>
    <row r="21" spans="1:19" ht="16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1"/>
    </row>
    <row r="22" spans="1:19" s="16" customFormat="1" ht="15.75" customHeight="1">
      <c r="A22" s="35" t="s">
        <v>29</v>
      </c>
      <c r="B22" s="27" t="s">
        <v>56</v>
      </c>
      <c r="C22" s="25" t="s">
        <v>12</v>
      </c>
      <c r="D22" s="1">
        <f>SUM(D23:D28)</f>
        <v>856476.60900000017</v>
      </c>
      <c r="E22" s="1">
        <f>SUM(E23:E28)</f>
        <v>286249.8</v>
      </c>
      <c r="F22" s="1">
        <f>SUM(F23:F28)</f>
        <v>474934.6733000002</v>
      </c>
      <c r="G22" s="1">
        <f t="shared" ref="G22:M22" si="0">SUM(G23:G28)</f>
        <v>156728</v>
      </c>
      <c r="H22" s="1">
        <f t="shared" si="0"/>
        <v>4050.6952500000007</v>
      </c>
      <c r="I22" s="1">
        <f>SUM(I23:I28)</f>
        <v>0</v>
      </c>
      <c r="J22" s="1">
        <f>SUM(J23:J28)</f>
        <v>369461.74045000004</v>
      </c>
      <c r="K22" s="1">
        <f t="shared" si="0"/>
        <v>125655.70000000001</v>
      </c>
      <c r="L22" s="1">
        <f t="shared" si="0"/>
        <v>8029.5000000000009</v>
      </c>
      <c r="M22" s="1">
        <f t="shared" si="0"/>
        <v>3866.1000000000004</v>
      </c>
      <c r="N22" s="37" t="s">
        <v>46</v>
      </c>
      <c r="O22" s="14"/>
      <c r="P22" s="15"/>
      <c r="Q22" s="15"/>
      <c r="S22" s="15"/>
    </row>
    <row r="23" spans="1:19" s="16" customFormat="1" ht="15.75" customHeight="1">
      <c r="A23" s="36"/>
      <c r="B23" s="47" t="s">
        <v>11</v>
      </c>
      <c r="C23" s="25" t="s">
        <v>13</v>
      </c>
      <c r="D23" s="1">
        <f t="shared" ref="D23:E28" si="1">F23+H23+J23+L23</f>
        <v>94910.10000000002</v>
      </c>
      <c r="E23" s="1">
        <f t="shared" si="1"/>
        <v>73906</v>
      </c>
      <c r="F23" s="1">
        <f>F30+F37+F51+F58</f>
        <v>71330.300000000017</v>
      </c>
      <c r="G23" s="1">
        <f>G30+G37+G51+G58</f>
        <v>53230.200000000004</v>
      </c>
      <c r="H23" s="1">
        <f t="shared" ref="H23:K28" si="2">H30+H37+H51</f>
        <v>525</v>
      </c>
      <c r="I23" s="1">
        <f t="shared" si="2"/>
        <v>0</v>
      </c>
      <c r="J23" s="1">
        <f>J30+J37+J51</f>
        <v>21964.3</v>
      </c>
      <c r="K23" s="1">
        <f>K30+K37+K51</f>
        <v>19585.3</v>
      </c>
      <c r="L23" s="1">
        <f t="shared" ref="L23:M28" si="3">L30+L37+L51</f>
        <v>1090.5</v>
      </c>
      <c r="M23" s="1">
        <f t="shared" si="3"/>
        <v>1090.5</v>
      </c>
      <c r="N23" s="38"/>
      <c r="O23" s="5"/>
      <c r="P23" s="15">
        <f>G23+G65+G149</f>
        <v>138477.54399999999</v>
      </c>
      <c r="Q23" s="15">
        <f>K23+K65+K149</f>
        <v>38791.000000000007</v>
      </c>
    </row>
    <row r="24" spans="1:19" s="16" customFormat="1">
      <c r="A24" s="36"/>
      <c r="B24" s="47"/>
      <c r="C24" s="25" t="s">
        <v>14</v>
      </c>
      <c r="D24" s="1">
        <f t="shared" si="1"/>
        <v>116935.40000000002</v>
      </c>
      <c r="E24" s="1">
        <f t="shared" si="1"/>
        <v>94624.000000000015</v>
      </c>
      <c r="F24" s="1">
        <f t="shared" ref="F24:G28" si="4">F31+F38+F52+F59</f>
        <v>71330.300000000017</v>
      </c>
      <c r="G24" s="1">
        <f t="shared" si="4"/>
        <v>51748.9</v>
      </c>
      <c r="H24" s="1">
        <f t="shared" si="2"/>
        <v>577.5</v>
      </c>
      <c r="I24" s="1">
        <f t="shared" si="2"/>
        <v>0</v>
      </c>
      <c r="J24" s="1">
        <f t="shared" si="2"/>
        <v>43639.8</v>
      </c>
      <c r="K24" s="1">
        <f t="shared" si="2"/>
        <v>41487.300000000003</v>
      </c>
      <c r="L24" s="1">
        <f t="shared" si="3"/>
        <v>1387.8</v>
      </c>
      <c r="M24" s="1">
        <f t="shared" si="3"/>
        <v>1387.8</v>
      </c>
      <c r="N24" s="38"/>
      <c r="O24" s="5"/>
      <c r="P24" s="15">
        <v>137962.5</v>
      </c>
      <c r="Q24" s="15">
        <v>40421.199999999997</v>
      </c>
    </row>
    <row r="25" spans="1:19" s="16" customFormat="1">
      <c r="A25" s="36"/>
      <c r="B25" s="47"/>
      <c r="C25" s="25" t="s">
        <v>15</v>
      </c>
      <c r="D25" s="1">
        <f t="shared" si="1"/>
        <v>138825.79999999999</v>
      </c>
      <c r="E25" s="1">
        <f t="shared" si="1"/>
        <v>117719.8</v>
      </c>
      <c r="F25" s="1">
        <f t="shared" si="4"/>
        <v>71330.300000000017</v>
      </c>
      <c r="G25" s="1">
        <f t="shared" si="4"/>
        <v>51748.9</v>
      </c>
      <c r="H25" s="1">
        <f t="shared" si="2"/>
        <v>635.25</v>
      </c>
      <c r="I25" s="1">
        <f t="shared" si="2"/>
        <v>0</v>
      </c>
      <c r="J25" s="1">
        <f t="shared" si="2"/>
        <v>65472.45</v>
      </c>
      <c r="K25" s="1">
        <f t="shared" si="2"/>
        <v>64583.1</v>
      </c>
      <c r="L25" s="1">
        <f t="shared" si="3"/>
        <v>1387.8</v>
      </c>
      <c r="M25" s="1">
        <f t="shared" si="3"/>
        <v>1387.8</v>
      </c>
      <c r="N25" s="38"/>
      <c r="O25" s="5"/>
      <c r="P25" s="15">
        <f>P23-P24</f>
        <v>515.04399999999441</v>
      </c>
      <c r="Q25" s="15">
        <f>Q24-Q23</f>
        <v>1630.1999999999898</v>
      </c>
    </row>
    <row r="26" spans="1:19" s="16" customFormat="1">
      <c r="A26" s="36"/>
      <c r="B26" s="47"/>
      <c r="C26" s="25" t="s">
        <v>16</v>
      </c>
      <c r="D26" s="1">
        <f t="shared" si="1"/>
        <v>152733.90000000002</v>
      </c>
      <c r="E26" s="1">
        <f t="shared" si="1"/>
        <v>0</v>
      </c>
      <c r="F26" s="1">
        <f t="shared" si="4"/>
        <v>78627.630000000034</v>
      </c>
      <c r="G26" s="1">
        <f t="shared" si="4"/>
        <v>0</v>
      </c>
      <c r="H26" s="1">
        <f t="shared" si="2"/>
        <v>698.77500000000009</v>
      </c>
      <c r="I26" s="1">
        <f t="shared" si="2"/>
        <v>0</v>
      </c>
      <c r="J26" s="1">
        <f t="shared" si="2"/>
        <v>72019.695000000007</v>
      </c>
      <c r="K26" s="1">
        <f t="shared" si="2"/>
        <v>0</v>
      </c>
      <c r="L26" s="1">
        <f t="shared" si="3"/>
        <v>1387.8</v>
      </c>
      <c r="M26" s="1">
        <f t="shared" si="3"/>
        <v>0</v>
      </c>
      <c r="N26" s="38"/>
      <c r="O26" s="5"/>
    </row>
    <row r="27" spans="1:19" s="16" customFormat="1">
      <c r="A27" s="36"/>
      <c r="B27" s="47"/>
      <c r="C27" s="25" t="s">
        <v>17</v>
      </c>
      <c r="D27" s="1">
        <f t="shared" si="1"/>
        <v>168073.97000000003</v>
      </c>
      <c r="E27" s="1">
        <f t="shared" si="1"/>
        <v>0</v>
      </c>
      <c r="F27" s="1">
        <f t="shared" si="4"/>
        <v>86695.853000000046</v>
      </c>
      <c r="G27" s="1">
        <f t="shared" si="4"/>
        <v>0</v>
      </c>
      <c r="H27" s="1">
        <f t="shared" si="2"/>
        <v>768.65250000000015</v>
      </c>
      <c r="I27" s="1">
        <f t="shared" si="2"/>
        <v>0</v>
      </c>
      <c r="J27" s="1">
        <f t="shared" si="2"/>
        <v>79221.664500000014</v>
      </c>
      <c r="K27" s="1">
        <f t="shared" si="2"/>
        <v>0</v>
      </c>
      <c r="L27" s="1">
        <f t="shared" si="3"/>
        <v>1387.8</v>
      </c>
      <c r="M27" s="1">
        <f t="shared" si="3"/>
        <v>0</v>
      </c>
      <c r="N27" s="38"/>
      <c r="O27" s="5"/>
    </row>
    <row r="28" spans="1:19" s="16" customFormat="1">
      <c r="A28" s="36"/>
      <c r="B28" s="47"/>
      <c r="C28" s="25" t="s">
        <v>18</v>
      </c>
      <c r="D28" s="1">
        <f t="shared" si="1"/>
        <v>184997.43900000007</v>
      </c>
      <c r="E28" s="1">
        <f t="shared" si="1"/>
        <v>0</v>
      </c>
      <c r="F28" s="1">
        <f t="shared" si="4"/>
        <v>95620.290300000052</v>
      </c>
      <c r="G28" s="1">
        <f t="shared" si="4"/>
        <v>0</v>
      </c>
      <c r="H28" s="1">
        <f t="shared" si="2"/>
        <v>845.51775000000021</v>
      </c>
      <c r="I28" s="1">
        <f t="shared" si="2"/>
        <v>0</v>
      </c>
      <c r="J28" s="1">
        <f t="shared" si="2"/>
        <v>87143.830950000018</v>
      </c>
      <c r="K28" s="1">
        <f t="shared" si="2"/>
        <v>0</v>
      </c>
      <c r="L28" s="1">
        <f t="shared" si="3"/>
        <v>1387.8</v>
      </c>
      <c r="M28" s="1">
        <f t="shared" si="3"/>
        <v>0</v>
      </c>
      <c r="N28" s="38"/>
      <c r="O28" s="5"/>
    </row>
    <row r="29" spans="1:19" s="17" customFormat="1" ht="15.75" customHeight="1">
      <c r="A29" s="36"/>
      <c r="B29" s="31" t="s">
        <v>26</v>
      </c>
      <c r="C29" s="24" t="s">
        <v>12</v>
      </c>
      <c r="D29" s="1">
        <f>SUM(D30:D35)</f>
        <v>828941.59640000015</v>
      </c>
      <c r="E29" s="1">
        <f t="shared" ref="E29:K29" si="5">SUM(E30:E35)</f>
        <v>285104.8</v>
      </c>
      <c r="F29" s="2">
        <f t="shared" si="5"/>
        <v>457281.32930000016</v>
      </c>
      <c r="G29" s="2">
        <f t="shared" si="5"/>
        <v>155743</v>
      </c>
      <c r="H29" s="2">
        <f t="shared" si="5"/>
        <v>0</v>
      </c>
      <c r="I29" s="2">
        <f t="shared" si="5"/>
        <v>0</v>
      </c>
      <c r="J29" s="2">
        <f>SUM(J30:J35)</f>
        <v>363790.76710000006</v>
      </c>
      <c r="K29" s="2">
        <f t="shared" si="5"/>
        <v>125655.70000000001</v>
      </c>
      <c r="L29" s="2">
        <f>SUM(L30:L35)</f>
        <v>7869.5000000000009</v>
      </c>
      <c r="M29" s="2">
        <f>SUM(M30:M35)</f>
        <v>3706.1000000000004</v>
      </c>
      <c r="N29" s="38"/>
      <c r="O29" s="5"/>
    </row>
    <row r="30" spans="1:19">
      <c r="A30" s="36"/>
      <c r="B30" s="31"/>
      <c r="C30" s="24" t="s">
        <v>13</v>
      </c>
      <c r="D30" s="1">
        <f t="shared" ref="D30:E35" si="6">F30+H30+J30+L30</f>
        <v>91017.10000000002</v>
      </c>
      <c r="E30" s="1">
        <f t="shared" si="6"/>
        <v>73591</v>
      </c>
      <c r="F30" s="2">
        <f>17212+G30-1400-29.9</f>
        <v>68857.300000000017</v>
      </c>
      <c r="G30" s="2">
        <f>51333.9-G37+1400+20+918.2+10+15+30+25+91.3+124.6+29.9+48.3-971</f>
        <v>53075.200000000004</v>
      </c>
      <c r="H30" s="2">
        <v>0</v>
      </c>
      <c r="I30" s="2">
        <v>0</v>
      </c>
      <c r="J30" s="2">
        <f>1644+K30</f>
        <v>21229.3</v>
      </c>
      <c r="K30" s="2">
        <f>15979.3+13076-5254.8-988.1-2472.4-726.9-27.8</f>
        <v>19585.3</v>
      </c>
      <c r="L30" s="2">
        <f>1090.5-L37-L51</f>
        <v>930.5</v>
      </c>
      <c r="M30" s="2">
        <f>L30</f>
        <v>930.5</v>
      </c>
      <c r="N30" s="38"/>
      <c r="O30" s="5"/>
    </row>
    <row r="31" spans="1:19">
      <c r="A31" s="36"/>
      <c r="B31" s="31"/>
      <c r="C31" s="24" t="s">
        <v>14</v>
      </c>
      <c r="D31" s="1">
        <f t="shared" si="6"/>
        <v>113076.40000000002</v>
      </c>
      <c r="E31" s="1">
        <f t="shared" si="6"/>
        <v>94209.000000000015</v>
      </c>
      <c r="F31" s="2">
        <f>F30</f>
        <v>68857.300000000017</v>
      </c>
      <c r="G31" s="2">
        <f>51333.9-G38-G45</f>
        <v>51333.9</v>
      </c>
      <c r="H31" s="2">
        <v>0</v>
      </c>
      <c r="I31" s="2">
        <v>0</v>
      </c>
      <c r="J31" s="2">
        <f>1344+K31</f>
        <v>42831.3</v>
      </c>
      <c r="K31" s="2">
        <f>23762.6+17724.7</f>
        <v>41487.300000000003</v>
      </c>
      <c r="L31" s="2">
        <v>1387.8</v>
      </c>
      <c r="M31" s="2">
        <f>L31</f>
        <v>1387.8</v>
      </c>
      <c r="N31" s="38"/>
      <c r="O31" s="5"/>
    </row>
    <row r="32" spans="1:19">
      <c r="A32" s="36"/>
      <c r="B32" s="31"/>
      <c r="C32" s="24" t="s">
        <v>15</v>
      </c>
      <c r="D32" s="1">
        <f t="shared" si="6"/>
        <v>134828.20000000001</v>
      </c>
      <c r="E32" s="1">
        <f t="shared" si="6"/>
        <v>117304.8</v>
      </c>
      <c r="F32" s="2">
        <f>F31</f>
        <v>68857.300000000017</v>
      </c>
      <c r="G32" s="2">
        <f>51333.9-G39-G46</f>
        <v>51333.9</v>
      </c>
      <c r="H32" s="2">
        <v>0</v>
      </c>
      <c r="I32" s="2">
        <v>0</v>
      </c>
      <c r="J32" s="2">
        <f>K32</f>
        <v>64583.1</v>
      </c>
      <c r="K32" s="2">
        <f>64538.1+45</f>
        <v>64583.1</v>
      </c>
      <c r="L32" s="2">
        <v>1387.8</v>
      </c>
      <c r="M32" s="2">
        <f>L32</f>
        <v>1387.8</v>
      </c>
      <c r="N32" s="38"/>
      <c r="O32" s="5"/>
    </row>
    <row r="33" spans="1:15">
      <c r="A33" s="36"/>
      <c r="B33" s="31"/>
      <c r="C33" s="24" t="s">
        <v>16</v>
      </c>
      <c r="D33" s="1">
        <f t="shared" si="6"/>
        <v>148172.24000000002</v>
      </c>
      <c r="E33" s="1">
        <f t="shared" si="6"/>
        <v>0</v>
      </c>
      <c r="F33" s="2">
        <f>1.1*F32</f>
        <v>75743.030000000028</v>
      </c>
      <c r="G33" s="2">
        <v>0</v>
      </c>
      <c r="H33" s="2">
        <v>0</v>
      </c>
      <c r="I33" s="2">
        <v>0</v>
      </c>
      <c r="J33" s="2">
        <f>1.1*J32</f>
        <v>71041.41</v>
      </c>
      <c r="K33" s="2">
        <v>0</v>
      </c>
      <c r="L33" s="2">
        <v>1387.8</v>
      </c>
      <c r="M33" s="2">
        <v>0</v>
      </c>
      <c r="N33" s="38"/>
      <c r="O33" s="5"/>
    </row>
    <row r="34" spans="1:15">
      <c r="A34" s="36"/>
      <c r="B34" s="31"/>
      <c r="C34" s="24" t="s">
        <v>17</v>
      </c>
      <c r="D34" s="1">
        <f t="shared" si="6"/>
        <v>162850.68400000004</v>
      </c>
      <c r="E34" s="1">
        <f t="shared" si="6"/>
        <v>0</v>
      </c>
      <c r="F34" s="2">
        <f>1.1*F33</f>
        <v>83317.333000000042</v>
      </c>
      <c r="G34" s="2">
        <v>0</v>
      </c>
      <c r="H34" s="2">
        <v>0</v>
      </c>
      <c r="I34" s="2">
        <v>0</v>
      </c>
      <c r="J34" s="2">
        <f>1.1*J33</f>
        <v>78145.551000000007</v>
      </c>
      <c r="K34" s="2">
        <v>0</v>
      </c>
      <c r="L34" s="2">
        <v>1387.8</v>
      </c>
      <c r="M34" s="2">
        <v>0</v>
      </c>
      <c r="N34" s="38"/>
      <c r="O34" s="5"/>
    </row>
    <row r="35" spans="1:15">
      <c r="A35" s="36"/>
      <c r="B35" s="31"/>
      <c r="C35" s="24" t="s">
        <v>18</v>
      </c>
      <c r="D35" s="1">
        <f t="shared" si="6"/>
        <v>178996.97240000006</v>
      </c>
      <c r="E35" s="1">
        <f t="shared" si="6"/>
        <v>0</v>
      </c>
      <c r="F35" s="2">
        <f>1.1*F34</f>
        <v>91649.06630000005</v>
      </c>
      <c r="G35" s="2">
        <v>0</v>
      </c>
      <c r="H35" s="2">
        <v>0</v>
      </c>
      <c r="I35" s="2">
        <v>0</v>
      </c>
      <c r="J35" s="2">
        <f>1.1*J34</f>
        <v>85960.106100000019</v>
      </c>
      <c r="K35" s="2">
        <v>0</v>
      </c>
      <c r="L35" s="2">
        <v>1387.8</v>
      </c>
      <c r="M35" s="2">
        <v>0</v>
      </c>
      <c r="N35" s="38"/>
      <c r="O35" s="5"/>
    </row>
    <row r="36" spans="1:15" s="4" customFormat="1" ht="15.75" customHeight="1">
      <c r="A36" s="36"/>
      <c r="B36" s="31" t="s">
        <v>27</v>
      </c>
      <c r="C36" s="24" t="s">
        <v>12</v>
      </c>
      <c r="D36" s="1">
        <f>SUM(D37:D42)</f>
        <v>24965.012600000002</v>
      </c>
      <c r="E36" s="1">
        <f t="shared" ref="E36:M36" si="7">SUM(E37:E42)</f>
        <v>80</v>
      </c>
      <c r="F36" s="2">
        <f t="shared" si="7"/>
        <v>15163.344000000001</v>
      </c>
      <c r="G36" s="2">
        <f t="shared" si="7"/>
        <v>0</v>
      </c>
      <c r="H36" s="2">
        <f t="shared" si="7"/>
        <v>4050.6952500000007</v>
      </c>
      <c r="I36" s="2">
        <f t="shared" si="7"/>
        <v>0</v>
      </c>
      <c r="J36" s="2">
        <f t="shared" si="7"/>
        <v>5670.973350000002</v>
      </c>
      <c r="K36" s="2">
        <f t="shared" si="7"/>
        <v>0</v>
      </c>
      <c r="L36" s="2">
        <f t="shared" si="7"/>
        <v>80</v>
      </c>
      <c r="M36" s="2">
        <f t="shared" si="7"/>
        <v>80</v>
      </c>
      <c r="N36" s="38"/>
      <c r="O36" s="5"/>
    </row>
    <row r="37" spans="1:15">
      <c r="A37" s="36"/>
      <c r="B37" s="31"/>
      <c r="C37" s="24" t="s">
        <v>13</v>
      </c>
      <c r="D37" s="1">
        <f t="shared" ref="D37:E42" si="8">F37+H37+J37+L37</f>
        <v>3398</v>
      </c>
      <c r="E37" s="1">
        <f t="shared" si="8"/>
        <v>80</v>
      </c>
      <c r="F37" s="2">
        <v>2058</v>
      </c>
      <c r="G37" s="2">
        <v>0</v>
      </c>
      <c r="H37" s="2">
        <v>525</v>
      </c>
      <c r="I37" s="2"/>
      <c r="J37" s="2">
        <f>735</f>
        <v>735</v>
      </c>
      <c r="K37" s="2">
        <v>0</v>
      </c>
      <c r="L37" s="2">
        <v>80</v>
      </c>
      <c r="M37" s="2">
        <v>80</v>
      </c>
      <c r="N37" s="38"/>
      <c r="O37" s="5"/>
    </row>
    <row r="38" spans="1:15">
      <c r="A38" s="36"/>
      <c r="B38" s="31"/>
      <c r="C38" s="24" t="s">
        <v>14</v>
      </c>
      <c r="D38" s="1">
        <f t="shared" si="8"/>
        <v>3444</v>
      </c>
      <c r="E38" s="1">
        <f t="shared" si="8"/>
        <v>0</v>
      </c>
      <c r="F38" s="2">
        <f>F37</f>
        <v>2058</v>
      </c>
      <c r="G38" s="2">
        <v>0</v>
      </c>
      <c r="H38" s="2">
        <f>1.1*H37</f>
        <v>577.5</v>
      </c>
      <c r="I38" s="2"/>
      <c r="J38" s="2">
        <f>1.1*J37</f>
        <v>808.50000000000011</v>
      </c>
      <c r="K38" s="2">
        <v>0</v>
      </c>
      <c r="L38" s="2">
        <v>0</v>
      </c>
      <c r="M38" s="2">
        <v>0</v>
      </c>
      <c r="N38" s="38"/>
      <c r="O38" s="5"/>
    </row>
    <row r="39" spans="1:15">
      <c r="A39" s="36"/>
      <c r="B39" s="31"/>
      <c r="C39" s="24" t="s">
        <v>15</v>
      </c>
      <c r="D39" s="1">
        <f t="shared" si="8"/>
        <v>3582.6000000000004</v>
      </c>
      <c r="E39" s="1">
        <f t="shared" si="8"/>
        <v>0</v>
      </c>
      <c r="F39" s="2">
        <f>F38</f>
        <v>2058</v>
      </c>
      <c r="G39" s="2">
        <v>0</v>
      </c>
      <c r="H39" s="2">
        <f>1.1*H38</f>
        <v>635.25</v>
      </c>
      <c r="I39" s="2">
        <v>0</v>
      </c>
      <c r="J39" s="2">
        <f>1.1*J38</f>
        <v>889.35000000000025</v>
      </c>
      <c r="K39" s="2">
        <v>0</v>
      </c>
      <c r="L39" s="2">
        <v>0</v>
      </c>
      <c r="M39" s="2">
        <v>0</v>
      </c>
      <c r="N39" s="38"/>
      <c r="O39" s="5"/>
    </row>
    <row r="40" spans="1:15">
      <c r="A40" s="36"/>
      <c r="B40" s="31"/>
      <c r="C40" s="24" t="s">
        <v>16</v>
      </c>
      <c r="D40" s="1">
        <f t="shared" si="8"/>
        <v>4146.66</v>
      </c>
      <c r="E40" s="1">
        <f t="shared" si="8"/>
        <v>0</v>
      </c>
      <c r="F40" s="2">
        <f>1.2*F39</f>
        <v>2469.6</v>
      </c>
      <c r="G40" s="2">
        <v>0</v>
      </c>
      <c r="H40" s="2">
        <f>1.1*H39</f>
        <v>698.77500000000009</v>
      </c>
      <c r="I40" s="2"/>
      <c r="J40" s="2">
        <f>1.1*J39</f>
        <v>978.28500000000031</v>
      </c>
      <c r="K40" s="2">
        <v>0</v>
      </c>
      <c r="L40" s="2">
        <v>0</v>
      </c>
      <c r="M40" s="2">
        <v>0</v>
      </c>
      <c r="N40" s="38"/>
      <c r="O40" s="5"/>
    </row>
    <row r="41" spans="1:15">
      <c r="A41" s="36"/>
      <c r="B41" s="31"/>
      <c r="C41" s="24" t="s">
        <v>17</v>
      </c>
      <c r="D41" s="1">
        <f t="shared" si="8"/>
        <v>4808.2860000000001</v>
      </c>
      <c r="E41" s="1">
        <f t="shared" si="8"/>
        <v>0</v>
      </c>
      <c r="F41" s="2">
        <f>1.2*F40</f>
        <v>2963.52</v>
      </c>
      <c r="G41" s="2">
        <v>0</v>
      </c>
      <c r="H41" s="2">
        <f>1.1*H40</f>
        <v>768.65250000000015</v>
      </c>
      <c r="I41" s="2">
        <v>0</v>
      </c>
      <c r="J41" s="2">
        <f>1.1*J40</f>
        <v>1076.1135000000004</v>
      </c>
      <c r="K41" s="2">
        <v>0</v>
      </c>
      <c r="L41" s="2">
        <v>0</v>
      </c>
      <c r="M41" s="2">
        <v>0</v>
      </c>
      <c r="N41" s="38"/>
      <c r="O41" s="5"/>
    </row>
    <row r="42" spans="1:15">
      <c r="A42" s="36"/>
      <c r="B42" s="31"/>
      <c r="C42" s="24" t="s">
        <v>18</v>
      </c>
      <c r="D42" s="1">
        <f t="shared" si="8"/>
        <v>5585.4666000000007</v>
      </c>
      <c r="E42" s="1">
        <f t="shared" si="8"/>
        <v>0</v>
      </c>
      <c r="F42" s="2">
        <f>1.2*F41</f>
        <v>3556.2239999999997</v>
      </c>
      <c r="G42" s="2">
        <v>0</v>
      </c>
      <c r="H42" s="2">
        <f>1.1*H41</f>
        <v>845.51775000000021</v>
      </c>
      <c r="I42" s="2">
        <v>0</v>
      </c>
      <c r="J42" s="2">
        <f>1.1*J41</f>
        <v>1183.7248500000005</v>
      </c>
      <c r="K42" s="2">
        <v>0</v>
      </c>
      <c r="L42" s="2">
        <f>1.1*L41</f>
        <v>0</v>
      </c>
      <c r="M42" s="2"/>
      <c r="N42" s="38"/>
      <c r="O42" s="5"/>
    </row>
    <row r="43" spans="1:15" s="4" customFormat="1" ht="15" hidden="1" customHeight="1">
      <c r="A43" s="36"/>
      <c r="B43" s="31" t="s">
        <v>47</v>
      </c>
      <c r="C43" s="24" t="s">
        <v>12</v>
      </c>
      <c r="D43" s="1">
        <f>SUM(D44:D49)</f>
        <v>0</v>
      </c>
      <c r="E43" s="1">
        <f t="shared" ref="E43:K43" si="9">SUM(E44:E49)</f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>SUM(L44:L49)</f>
        <v>0</v>
      </c>
      <c r="M43" s="2">
        <f>SUM(M44:M49)</f>
        <v>0</v>
      </c>
      <c r="N43" s="38"/>
      <c r="O43" s="5"/>
    </row>
    <row r="44" spans="1:15" ht="15" hidden="1" customHeight="1">
      <c r="A44" s="36"/>
      <c r="B44" s="31"/>
      <c r="C44" s="24" t="s">
        <v>13</v>
      </c>
      <c r="D44" s="1">
        <f t="shared" ref="D44:E49" si="10">F44+H44+J44+L44</f>
        <v>0</v>
      </c>
      <c r="E44" s="1">
        <f t="shared" si="10"/>
        <v>0</v>
      </c>
      <c r="F44" s="2"/>
      <c r="G44" s="2"/>
      <c r="H44" s="2"/>
      <c r="I44" s="2"/>
      <c r="J44" s="2"/>
      <c r="K44" s="2"/>
      <c r="L44" s="2"/>
      <c r="M44" s="2"/>
      <c r="N44" s="38"/>
      <c r="O44" s="5"/>
    </row>
    <row r="45" spans="1:15" ht="15" hidden="1" customHeight="1">
      <c r="A45" s="36"/>
      <c r="B45" s="31"/>
      <c r="C45" s="24" t="s">
        <v>14</v>
      </c>
      <c r="D45" s="1">
        <f t="shared" si="10"/>
        <v>0</v>
      </c>
      <c r="E45" s="1">
        <f t="shared" si="10"/>
        <v>0</v>
      </c>
      <c r="F45" s="2"/>
      <c r="G45" s="2"/>
      <c r="H45" s="2"/>
      <c r="I45" s="2"/>
      <c r="J45" s="2"/>
      <c r="K45" s="2"/>
      <c r="L45" s="2"/>
      <c r="M45" s="2"/>
      <c r="N45" s="38"/>
      <c r="O45" s="5"/>
    </row>
    <row r="46" spans="1:15" ht="15" hidden="1" customHeight="1">
      <c r="A46" s="36"/>
      <c r="B46" s="31"/>
      <c r="C46" s="24" t="s">
        <v>15</v>
      </c>
      <c r="D46" s="1">
        <f t="shared" si="10"/>
        <v>0</v>
      </c>
      <c r="E46" s="1">
        <f t="shared" si="10"/>
        <v>0</v>
      </c>
      <c r="F46" s="2"/>
      <c r="G46" s="2"/>
      <c r="H46" s="2"/>
      <c r="I46" s="2"/>
      <c r="J46" s="2"/>
      <c r="K46" s="2"/>
      <c r="L46" s="2"/>
      <c r="M46" s="2"/>
      <c r="N46" s="38"/>
      <c r="O46" s="5"/>
    </row>
    <row r="47" spans="1:15" ht="15" hidden="1" customHeight="1">
      <c r="A47" s="36"/>
      <c r="B47" s="31"/>
      <c r="C47" s="24" t="s">
        <v>16</v>
      </c>
      <c r="D47" s="1">
        <f t="shared" si="10"/>
        <v>0</v>
      </c>
      <c r="E47" s="1">
        <f t="shared" si="10"/>
        <v>0</v>
      </c>
      <c r="F47" s="2"/>
      <c r="G47" s="2"/>
      <c r="H47" s="2"/>
      <c r="I47" s="2"/>
      <c r="J47" s="2"/>
      <c r="K47" s="2"/>
      <c r="L47" s="2"/>
      <c r="M47" s="2"/>
      <c r="N47" s="38"/>
      <c r="O47" s="5"/>
    </row>
    <row r="48" spans="1:15" ht="15" hidden="1" customHeight="1">
      <c r="A48" s="36"/>
      <c r="B48" s="31"/>
      <c r="C48" s="24" t="s">
        <v>17</v>
      </c>
      <c r="D48" s="1">
        <f t="shared" si="10"/>
        <v>0</v>
      </c>
      <c r="E48" s="1">
        <f t="shared" si="10"/>
        <v>0</v>
      </c>
      <c r="F48" s="2"/>
      <c r="G48" s="2"/>
      <c r="H48" s="2"/>
      <c r="I48" s="2"/>
      <c r="J48" s="2"/>
      <c r="K48" s="2"/>
      <c r="L48" s="2"/>
      <c r="M48" s="2"/>
      <c r="N48" s="38"/>
      <c r="O48" s="5"/>
    </row>
    <row r="49" spans="1:16" ht="15" hidden="1" customHeight="1">
      <c r="A49" s="36"/>
      <c r="B49" s="31"/>
      <c r="C49" s="24" t="s">
        <v>18</v>
      </c>
      <c r="D49" s="1">
        <f t="shared" si="10"/>
        <v>0</v>
      </c>
      <c r="E49" s="1">
        <f t="shared" si="10"/>
        <v>0</v>
      </c>
      <c r="F49" s="2"/>
      <c r="G49" s="2"/>
      <c r="H49" s="2"/>
      <c r="I49" s="2"/>
      <c r="J49" s="2"/>
      <c r="K49" s="2"/>
      <c r="L49" s="2"/>
      <c r="M49" s="2"/>
      <c r="N49" s="38"/>
      <c r="O49" s="5"/>
    </row>
    <row r="50" spans="1:16" s="4" customFormat="1" ht="15" customHeight="1">
      <c r="A50" s="36"/>
      <c r="B50" s="40" t="s">
        <v>50</v>
      </c>
      <c r="C50" s="24" t="s">
        <v>12</v>
      </c>
      <c r="D50" s="1">
        <f>SUM(D51:D56)</f>
        <v>1640</v>
      </c>
      <c r="E50" s="1">
        <f t="shared" ref="E50:K50" si="11">SUM(E51:E56)</f>
        <v>600</v>
      </c>
      <c r="F50" s="1">
        <f t="shared" si="11"/>
        <v>1560</v>
      </c>
      <c r="G50" s="1">
        <f t="shared" si="11"/>
        <v>520</v>
      </c>
      <c r="H50" s="1">
        <f t="shared" si="11"/>
        <v>0</v>
      </c>
      <c r="I50" s="1">
        <f t="shared" si="11"/>
        <v>0</v>
      </c>
      <c r="J50" s="1">
        <f t="shared" si="11"/>
        <v>0</v>
      </c>
      <c r="K50" s="1">
        <f t="shared" si="11"/>
        <v>0</v>
      </c>
      <c r="L50" s="1">
        <f>SUM(L51:L56)</f>
        <v>80</v>
      </c>
      <c r="M50" s="1">
        <f>SUM(M51:M56)</f>
        <v>80</v>
      </c>
      <c r="N50" s="38"/>
      <c r="O50" s="5"/>
    </row>
    <row r="51" spans="1:16">
      <c r="A51" s="36"/>
      <c r="B51" s="41"/>
      <c r="C51" s="24" t="s">
        <v>13</v>
      </c>
      <c r="D51" s="1">
        <f t="shared" ref="D51:E56" si="12">F51+H51+J51+L51</f>
        <v>340</v>
      </c>
      <c r="E51" s="1">
        <f t="shared" si="12"/>
        <v>80</v>
      </c>
      <c r="F51" s="2">
        <v>260</v>
      </c>
      <c r="G51" s="2">
        <f>260-260</f>
        <v>0</v>
      </c>
      <c r="H51" s="2"/>
      <c r="I51" s="2"/>
      <c r="J51" s="2"/>
      <c r="K51" s="2"/>
      <c r="L51" s="2">
        <v>80</v>
      </c>
      <c r="M51" s="2">
        <f>L51</f>
        <v>80</v>
      </c>
      <c r="N51" s="38"/>
      <c r="O51" s="5"/>
      <c r="P51" s="18"/>
    </row>
    <row r="52" spans="1:16">
      <c r="A52" s="36"/>
      <c r="B52" s="41"/>
      <c r="C52" s="24" t="s">
        <v>14</v>
      </c>
      <c r="D52" s="1">
        <f t="shared" si="12"/>
        <v>260</v>
      </c>
      <c r="E52" s="1">
        <f t="shared" si="12"/>
        <v>260</v>
      </c>
      <c r="F52" s="2">
        <v>260</v>
      </c>
      <c r="G52" s="2">
        <v>260</v>
      </c>
      <c r="H52" s="2"/>
      <c r="I52" s="2"/>
      <c r="J52" s="2"/>
      <c r="K52" s="2"/>
      <c r="L52" s="2">
        <v>0</v>
      </c>
      <c r="M52" s="2">
        <v>0</v>
      </c>
      <c r="N52" s="38"/>
      <c r="O52" s="5"/>
    </row>
    <row r="53" spans="1:16">
      <c r="A53" s="36"/>
      <c r="B53" s="41"/>
      <c r="C53" s="24" t="s">
        <v>15</v>
      </c>
      <c r="D53" s="1">
        <f t="shared" si="12"/>
        <v>260</v>
      </c>
      <c r="E53" s="1">
        <f t="shared" si="12"/>
        <v>260</v>
      </c>
      <c r="F53" s="2">
        <v>260</v>
      </c>
      <c r="G53" s="2">
        <v>260</v>
      </c>
      <c r="H53" s="2"/>
      <c r="I53" s="2"/>
      <c r="J53" s="2"/>
      <c r="K53" s="2"/>
      <c r="L53" s="2">
        <v>0</v>
      </c>
      <c r="M53" s="2">
        <v>0</v>
      </c>
      <c r="N53" s="38"/>
      <c r="O53" s="5"/>
    </row>
    <row r="54" spans="1:16">
      <c r="A54" s="36"/>
      <c r="B54" s="41"/>
      <c r="C54" s="24" t="s">
        <v>16</v>
      </c>
      <c r="D54" s="1">
        <f t="shared" si="12"/>
        <v>260</v>
      </c>
      <c r="E54" s="1">
        <f t="shared" si="12"/>
        <v>0</v>
      </c>
      <c r="F54" s="2">
        <v>260</v>
      </c>
      <c r="G54" s="2">
        <v>0</v>
      </c>
      <c r="H54" s="2"/>
      <c r="I54" s="2"/>
      <c r="J54" s="2"/>
      <c r="K54" s="2"/>
      <c r="L54" s="2">
        <f>1.1*L53</f>
        <v>0</v>
      </c>
      <c r="M54" s="2">
        <v>0</v>
      </c>
      <c r="N54" s="38"/>
      <c r="O54" s="5"/>
    </row>
    <row r="55" spans="1:16">
      <c r="A55" s="36"/>
      <c r="B55" s="41"/>
      <c r="C55" s="24" t="s">
        <v>17</v>
      </c>
      <c r="D55" s="1">
        <f t="shared" si="12"/>
        <v>260</v>
      </c>
      <c r="E55" s="1">
        <f t="shared" si="12"/>
        <v>0</v>
      </c>
      <c r="F55" s="2">
        <v>260</v>
      </c>
      <c r="G55" s="2">
        <v>0</v>
      </c>
      <c r="H55" s="2"/>
      <c r="I55" s="2"/>
      <c r="J55" s="2"/>
      <c r="K55" s="2"/>
      <c r="L55" s="2">
        <f>1.1*L54</f>
        <v>0</v>
      </c>
      <c r="M55" s="2">
        <v>0</v>
      </c>
      <c r="N55" s="38"/>
      <c r="O55" s="5"/>
    </row>
    <row r="56" spans="1:16">
      <c r="A56" s="36"/>
      <c r="B56" s="42"/>
      <c r="C56" s="24" t="s">
        <v>18</v>
      </c>
      <c r="D56" s="1">
        <f t="shared" si="12"/>
        <v>260</v>
      </c>
      <c r="E56" s="1">
        <f t="shared" si="12"/>
        <v>0</v>
      </c>
      <c r="F56" s="2">
        <v>260</v>
      </c>
      <c r="G56" s="2">
        <v>0</v>
      </c>
      <c r="H56" s="2"/>
      <c r="I56" s="2"/>
      <c r="J56" s="2"/>
      <c r="K56" s="2"/>
      <c r="L56" s="2">
        <f>1.1*L55</f>
        <v>0</v>
      </c>
      <c r="M56" s="2">
        <v>0</v>
      </c>
      <c r="N56" s="38"/>
      <c r="O56" s="5"/>
    </row>
    <row r="57" spans="1:16" ht="15.75" customHeight="1">
      <c r="A57" s="36"/>
      <c r="B57" s="40" t="s">
        <v>54</v>
      </c>
      <c r="C57" s="24" t="s">
        <v>12</v>
      </c>
      <c r="D57" s="1">
        <f>SUM(D58:D63)</f>
        <v>930</v>
      </c>
      <c r="E57" s="1">
        <f t="shared" ref="E57:K57" si="13">SUM(E58:E63)</f>
        <v>465</v>
      </c>
      <c r="F57" s="2">
        <f t="shared" si="13"/>
        <v>930</v>
      </c>
      <c r="G57" s="2">
        <f t="shared" si="13"/>
        <v>465</v>
      </c>
      <c r="H57" s="2">
        <f t="shared" si="13"/>
        <v>0</v>
      </c>
      <c r="I57" s="2">
        <f t="shared" si="13"/>
        <v>0</v>
      </c>
      <c r="J57" s="2">
        <f t="shared" si="13"/>
        <v>0</v>
      </c>
      <c r="K57" s="2">
        <f t="shared" si="13"/>
        <v>0</v>
      </c>
      <c r="L57" s="2"/>
      <c r="M57" s="2"/>
      <c r="N57" s="38"/>
      <c r="O57" s="5"/>
    </row>
    <row r="58" spans="1:16">
      <c r="A58" s="36"/>
      <c r="B58" s="41"/>
      <c r="C58" s="24" t="s">
        <v>13</v>
      </c>
      <c r="D58" s="1">
        <f t="shared" ref="D58:E63" si="14">F58+H58+J58+L58</f>
        <v>155</v>
      </c>
      <c r="E58" s="1">
        <f t="shared" si="14"/>
        <v>155</v>
      </c>
      <c r="F58" s="2">
        <v>155</v>
      </c>
      <c r="G58" s="2">
        <v>155</v>
      </c>
      <c r="H58" s="2"/>
      <c r="I58" s="2"/>
      <c r="J58" s="2"/>
      <c r="K58" s="2"/>
      <c r="L58" s="2"/>
      <c r="M58" s="2"/>
      <c r="N58" s="38"/>
      <c r="O58" s="5"/>
    </row>
    <row r="59" spans="1:16">
      <c r="A59" s="36"/>
      <c r="B59" s="41"/>
      <c r="C59" s="24" t="s">
        <v>14</v>
      </c>
      <c r="D59" s="1">
        <f t="shared" si="14"/>
        <v>155</v>
      </c>
      <c r="E59" s="1">
        <f t="shared" si="14"/>
        <v>155</v>
      </c>
      <c r="F59" s="2">
        <v>155</v>
      </c>
      <c r="G59" s="2">
        <v>155</v>
      </c>
      <c r="H59" s="2"/>
      <c r="I59" s="2"/>
      <c r="J59" s="2"/>
      <c r="K59" s="2"/>
      <c r="L59" s="2"/>
      <c r="M59" s="2"/>
      <c r="N59" s="38"/>
      <c r="O59" s="5"/>
    </row>
    <row r="60" spans="1:16">
      <c r="A60" s="36"/>
      <c r="B60" s="41"/>
      <c r="C60" s="24" t="s">
        <v>15</v>
      </c>
      <c r="D60" s="1">
        <f t="shared" si="14"/>
        <v>155</v>
      </c>
      <c r="E60" s="1">
        <f t="shared" si="14"/>
        <v>155</v>
      </c>
      <c r="F60" s="2">
        <v>155</v>
      </c>
      <c r="G60" s="2">
        <v>155</v>
      </c>
      <c r="H60" s="2"/>
      <c r="I60" s="2"/>
      <c r="J60" s="2"/>
      <c r="K60" s="2"/>
      <c r="L60" s="2"/>
      <c r="M60" s="2"/>
      <c r="N60" s="38"/>
      <c r="O60" s="5"/>
    </row>
    <row r="61" spans="1:16">
      <c r="A61" s="36"/>
      <c r="B61" s="41"/>
      <c r="C61" s="24" t="s">
        <v>16</v>
      </c>
      <c r="D61" s="1">
        <f t="shared" si="14"/>
        <v>155</v>
      </c>
      <c r="E61" s="1">
        <f t="shared" si="14"/>
        <v>0</v>
      </c>
      <c r="F61" s="2">
        <v>155</v>
      </c>
      <c r="G61" s="2"/>
      <c r="H61" s="2"/>
      <c r="I61" s="2"/>
      <c r="J61" s="2"/>
      <c r="K61" s="2"/>
      <c r="L61" s="2"/>
      <c r="M61" s="2"/>
      <c r="N61" s="38"/>
      <c r="O61" s="5"/>
    </row>
    <row r="62" spans="1:16">
      <c r="A62" s="36"/>
      <c r="B62" s="41"/>
      <c r="C62" s="24" t="s">
        <v>17</v>
      </c>
      <c r="D62" s="1">
        <f t="shared" si="14"/>
        <v>155</v>
      </c>
      <c r="E62" s="1">
        <f t="shared" si="14"/>
        <v>0</v>
      </c>
      <c r="F62" s="2">
        <v>155</v>
      </c>
      <c r="G62" s="2"/>
      <c r="H62" s="2"/>
      <c r="I62" s="2"/>
      <c r="J62" s="2"/>
      <c r="K62" s="2"/>
      <c r="L62" s="2"/>
      <c r="M62" s="2"/>
      <c r="N62" s="38"/>
      <c r="O62" s="5"/>
    </row>
    <row r="63" spans="1:16">
      <c r="A63" s="36"/>
      <c r="B63" s="42"/>
      <c r="C63" s="24" t="s">
        <v>18</v>
      </c>
      <c r="D63" s="1">
        <f t="shared" si="14"/>
        <v>155</v>
      </c>
      <c r="E63" s="1">
        <f t="shared" si="14"/>
        <v>0</v>
      </c>
      <c r="F63" s="2">
        <v>155</v>
      </c>
      <c r="G63" s="2"/>
      <c r="H63" s="2"/>
      <c r="I63" s="2"/>
      <c r="J63" s="2"/>
      <c r="K63" s="2"/>
      <c r="L63" s="2"/>
      <c r="M63" s="2"/>
      <c r="N63" s="39"/>
      <c r="O63" s="5"/>
    </row>
    <row r="64" spans="1:16" s="16" customFormat="1">
      <c r="A64" s="58" t="s">
        <v>62</v>
      </c>
      <c r="B64" s="27" t="s">
        <v>57</v>
      </c>
      <c r="C64" s="25" t="s">
        <v>12</v>
      </c>
      <c r="D64" s="1">
        <f>SUM(D65:D70)</f>
        <v>131572.72406400001</v>
      </c>
      <c r="E64" s="1">
        <f>SUM(E65:E70)</f>
        <v>57269.304000000004</v>
      </c>
      <c r="F64" s="1">
        <f t="shared" ref="F64:M64" si="15">SUM(F65:F70)</f>
        <v>55670.201364000008</v>
      </c>
      <c r="G64" s="1">
        <f t="shared" si="15"/>
        <v>23509.903999999999</v>
      </c>
      <c r="H64" s="1">
        <f t="shared" si="15"/>
        <v>0</v>
      </c>
      <c r="I64" s="1">
        <f t="shared" si="15"/>
        <v>0</v>
      </c>
      <c r="J64" s="1">
        <f>SUM(J65:J70)</f>
        <v>31702.522700000001</v>
      </c>
      <c r="K64" s="19">
        <f>SUM(K65:K70)</f>
        <v>10859.4</v>
      </c>
      <c r="L64" s="1">
        <f t="shared" si="15"/>
        <v>44200</v>
      </c>
      <c r="M64" s="1">
        <f t="shared" si="15"/>
        <v>22900</v>
      </c>
      <c r="N64" s="37" t="s">
        <v>46</v>
      </c>
      <c r="O64" s="5"/>
    </row>
    <row r="65" spans="1:16" s="16" customFormat="1" ht="15.75" customHeight="1">
      <c r="A65" s="58"/>
      <c r="B65" s="48" t="s">
        <v>19</v>
      </c>
      <c r="C65" s="25" t="s">
        <v>13</v>
      </c>
      <c r="D65" s="1">
        <f t="shared" ref="D65:E70" si="16">F65+H65+J65+L65</f>
        <v>18924.004000000001</v>
      </c>
      <c r="E65" s="1">
        <f t="shared" si="16"/>
        <v>17923.504000000001</v>
      </c>
      <c r="F65" s="1">
        <f t="shared" ref="F65:M65" si="17">F72+F79</f>
        <v>8382.8040000000001</v>
      </c>
      <c r="G65" s="1">
        <f t="shared" si="17"/>
        <v>7582.3040000000001</v>
      </c>
      <c r="H65" s="1">
        <f t="shared" si="17"/>
        <v>0</v>
      </c>
      <c r="I65" s="1">
        <f t="shared" si="17"/>
        <v>0</v>
      </c>
      <c r="J65" s="1">
        <f t="shared" si="17"/>
        <v>1841.1999999999998</v>
      </c>
      <c r="K65" s="1">
        <f t="shared" si="17"/>
        <v>1641.1999999999998</v>
      </c>
      <c r="L65" s="1">
        <f t="shared" si="17"/>
        <v>8700</v>
      </c>
      <c r="M65" s="1">
        <f t="shared" si="17"/>
        <v>8700</v>
      </c>
      <c r="N65" s="38"/>
      <c r="O65" s="5"/>
      <c r="P65" s="20"/>
    </row>
    <row r="66" spans="1:16" s="16" customFormat="1">
      <c r="A66" s="58"/>
      <c r="B66" s="49"/>
      <c r="C66" s="25" t="s">
        <v>14</v>
      </c>
      <c r="D66" s="1">
        <f t="shared" si="16"/>
        <v>19286.304</v>
      </c>
      <c r="E66" s="1">
        <f t="shared" si="16"/>
        <v>18667.3</v>
      </c>
      <c r="F66" s="1">
        <f t="shared" ref="F66:K70" si="18">F73+F80</f>
        <v>8382.8040000000001</v>
      </c>
      <c r="G66" s="1">
        <f>G73+G80</f>
        <v>7963.7999999999993</v>
      </c>
      <c r="H66" s="1">
        <f t="shared" si="18"/>
        <v>0</v>
      </c>
      <c r="I66" s="1">
        <f t="shared" si="18"/>
        <v>0</v>
      </c>
      <c r="J66" s="1">
        <f t="shared" si="18"/>
        <v>3803.5</v>
      </c>
      <c r="K66" s="1">
        <f t="shared" si="18"/>
        <v>3603.5</v>
      </c>
      <c r="L66" s="1">
        <f t="shared" ref="L66:M70" si="19">L73+L80</f>
        <v>7100</v>
      </c>
      <c r="M66" s="1">
        <f t="shared" si="19"/>
        <v>7100</v>
      </c>
      <c r="N66" s="38"/>
      <c r="O66" s="5"/>
      <c r="P66" s="15"/>
    </row>
    <row r="67" spans="1:16" s="16" customFormat="1">
      <c r="A67" s="58"/>
      <c r="B67" s="49"/>
      <c r="C67" s="25" t="s">
        <v>15</v>
      </c>
      <c r="D67" s="1">
        <f t="shared" si="16"/>
        <v>21097.504000000001</v>
      </c>
      <c r="E67" s="1">
        <f t="shared" si="16"/>
        <v>20678.5</v>
      </c>
      <c r="F67" s="1">
        <f t="shared" si="18"/>
        <v>8382.8040000000001</v>
      </c>
      <c r="G67" s="1">
        <f>G74+G81</f>
        <v>7963.7999999999993</v>
      </c>
      <c r="H67" s="1">
        <f t="shared" si="18"/>
        <v>0</v>
      </c>
      <c r="I67" s="1">
        <f t="shared" si="18"/>
        <v>0</v>
      </c>
      <c r="J67" s="1">
        <f>J74+J81</f>
        <v>5614.7</v>
      </c>
      <c r="K67" s="1">
        <f t="shared" si="18"/>
        <v>5614.7</v>
      </c>
      <c r="L67" s="1">
        <f t="shared" si="19"/>
        <v>7100</v>
      </c>
      <c r="M67" s="1">
        <f t="shared" si="19"/>
        <v>7100</v>
      </c>
      <c r="N67" s="38"/>
      <c r="O67" s="5"/>
    </row>
    <row r="68" spans="1:16" s="16" customFormat="1">
      <c r="A68" s="58"/>
      <c r="B68" s="49"/>
      <c r="C68" s="25" t="s">
        <v>16</v>
      </c>
      <c r="D68" s="1">
        <f t="shared" si="16"/>
        <v>22497.254399999998</v>
      </c>
      <c r="E68" s="1">
        <f t="shared" si="16"/>
        <v>0</v>
      </c>
      <c r="F68" s="1">
        <f t="shared" si="18"/>
        <v>9221.0843999999997</v>
      </c>
      <c r="G68" s="1">
        <f t="shared" si="18"/>
        <v>0</v>
      </c>
      <c r="H68" s="1">
        <f t="shared" si="18"/>
        <v>0</v>
      </c>
      <c r="I68" s="1">
        <f t="shared" si="18"/>
        <v>0</v>
      </c>
      <c r="J68" s="1">
        <f t="shared" si="18"/>
        <v>6176.17</v>
      </c>
      <c r="K68" s="1">
        <f t="shared" si="18"/>
        <v>0</v>
      </c>
      <c r="L68" s="1">
        <f t="shared" si="19"/>
        <v>7100</v>
      </c>
      <c r="M68" s="1">
        <f t="shared" si="19"/>
        <v>0</v>
      </c>
      <c r="N68" s="38"/>
      <c r="O68" s="5"/>
    </row>
    <row r="69" spans="1:16" s="16" customFormat="1">
      <c r="A69" s="58"/>
      <c r="B69" s="49"/>
      <c r="C69" s="25" t="s">
        <v>17</v>
      </c>
      <c r="D69" s="1">
        <f t="shared" si="16"/>
        <v>24036.97984</v>
      </c>
      <c r="E69" s="1">
        <f t="shared" si="16"/>
        <v>0</v>
      </c>
      <c r="F69" s="1">
        <f t="shared" si="18"/>
        <v>10143.192840000002</v>
      </c>
      <c r="G69" s="1">
        <f t="shared" si="18"/>
        <v>0</v>
      </c>
      <c r="H69" s="1">
        <f t="shared" si="18"/>
        <v>0</v>
      </c>
      <c r="I69" s="1">
        <f t="shared" si="18"/>
        <v>0</v>
      </c>
      <c r="J69" s="1">
        <f>J76+J83</f>
        <v>6793.7870000000003</v>
      </c>
      <c r="K69" s="1">
        <f t="shared" si="18"/>
        <v>0</v>
      </c>
      <c r="L69" s="1">
        <f t="shared" si="19"/>
        <v>7100</v>
      </c>
      <c r="M69" s="1">
        <f t="shared" si="19"/>
        <v>0</v>
      </c>
      <c r="N69" s="38"/>
      <c r="O69" s="5"/>
    </row>
    <row r="70" spans="1:16" s="16" customFormat="1">
      <c r="A70" s="58"/>
      <c r="B70" s="50"/>
      <c r="C70" s="25" t="s">
        <v>18</v>
      </c>
      <c r="D70" s="1">
        <f t="shared" si="16"/>
        <v>25730.677824000002</v>
      </c>
      <c r="E70" s="1">
        <f t="shared" si="16"/>
        <v>0</v>
      </c>
      <c r="F70" s="1">
        <f t="shared" si="18"/>
        <v>11157.512124000001</v>
      </c>
      <c r="G70" s="1">
        <f t="shared" si="18"/>
        <v>0</v>
      </c>
      <c r="H70" s="1">
        <f t="shared" si="18"/>
        <v>0</v>
      </c>
      <c r="I70" s="1">
        <f t="shared" si="18"/>
        <v>0</v>
      </c>
      <c r="J70" s="1">
        <f t="shared" si="18"/>
        <v>7473.1657000000005</v>
      </c>
      <c r="K70" s="1">
        <f t="shared" si="18"/>
        <v>0</v>
      </c>
      <c r="L70" s="1">
        <f t="shared" si="19"/>
        <v>7100</v>
      </c>
      <c r="M70" s="1">
        <f t="shared" si="19"/>
        <v>0</v>
      </c>
      <c r="N70" s="38"/>
      <c r="O70" s="5"/>
    </row>
    <row r="71" spans="1:16" s="4" customFormat="1" ht="15.75" customHeight="1">
      <c r="A71" s="58"/>
      <c r="B71" s="31" t="s">
        <v>28</v>
      </c>
      <c r="C71" s="24" t="s">
        <v>12</v>
      </c>
      <c r="D71" s="1">
        <f>SUM(D72:D77)</f>
        <v>129450.70406400002</v>
      </c>
      <c r="E71" s="1">
        <f>SUM(E72:E77)</f>
        <v>57048.304000000004</v>
      </c>
      <c r="F71" s="2">
        <f t="shared" ref="F71:K71" si="20">SUM(F72:F77)</f>
        <v>54209.181363999996</v>
      </c>
      <c r="G71" s="2">
        <f t="shared" si="20"/>
        <v>23509.903999999999</v>
      </c>
      <c r="H71" s="2">
        <f t="shared" si="20"/>
        <v>0</v>
      </c>
      <c r="I71" s="2">
        <f t="shared" si="20"/>
        <v>0</v>
      </c>
      <c r="J71" s="2">
        <f t="shared" si="20"/>
        <v>31702.522700000001</v>
      </c>
      <c r="K71" s="2">
        <f t="shared" si="20"/>
        <v>10859.4</v>
      </c>
      <c r="L71" s="2">
        <f>SUM(L72:L77)</f>
        <v>43539</v>
      </c>
      <c r="M71" s="2">
        <f>SUM(M72:M77)</f>
        <v>22679</v>
      </c>
      <c r="N71" s="38"/>
      <c r="O71" s="5"/>
    </row>
    <row r="72" spans="1:16">
      <c r="A72" s="58"/>
      <c r="B72" s="31"/>
      <c r="C72" s="24" t="s">
        <v>13</v>
      </c>
      <c r="D72" s="1">
        <f t="shared" ref="D72:E77" si="21">F72+H72+J72+L72</f>
        <v>18704.004000000001</v>
      </c>
      <c r="E72" s="1">
        <f t="shared" si="21"/>
        <v>17923.504000000001</v>
      </c>
      <c r="F72" s="2">
        <f>743.8+G72-163.3</f>
        <v>8162.8039999999992</v>
      </c>
      <c r="G72" s="2">
        <f>6351.7+1209+163.3+137+32.304+34.5+34.5-380</f>
        <v>7582.3040000000001</v>
      </c>
      <c r="H72" s="24"/>
      <c r="I72" s="2">
        <v>0</v>
      </c>
      <c r="J72" s="2">
        <f>200+K72</f>
        <v>1841.1999999999998</v>
      </c>
      <c r="K72" s="2">
        <f>1504.7+1017.8-456.9-85.9-215.2-124.7+1.4</f>
        <v>1641.1999999999998</v>
      </c>
      <c r="L72" s="2">
        <f>8700-L79</f>
        <v>8700</v>
      </c>
      <c r="M72" s="2">
        <f>L72</f>
        <v>8700</v>
      </c>
      <c r="N72" s="38"/>
      <c r="O72" s="5"/>
    </row>
    <row r="73" spans="1:16">
      <c r="A73" s="58"/>
      <c r="B73" s="31"/>
      <c r="C73" s="24" t="s">
        <v>14</v>
      </c>
      <c r="D73" s="1">
        <f t="shared" si="21"/>
        <v>18966.304</v>
      </c>
      <c r="E73" s="1">
        <f t="shared" si="21"/>
        <v>18567.3</v>
      </c>
      <c r="F73" s="2">
        <f>F72</f>
        <v>8162.8039999999992</v>
      </c>
      <c r="G73" s="2">
        <f>6351.7+1612.1</f>
        <v>7963.7999999999993</v>
      </c>
      <c r="H73" s="24"/>
      <c r="I73" s="2">
        <v>0</v>
      </c>
      <c r="J73" s="2">
        <f>200+K73</f>
        <v>3803.5</v>
      </c>
      <c r="K73" s="2">
        <f>2182.9+1420.6</f>
        <v>3603.5</v>
      </c>
      <c r="L73" s="2">
        <f>7100-L80</f>
        <v>7000</v>
      </c>
      <c r="M73" s="2">
        <f>L73</f>
        <v>7000</v>
      </c>
      <c r="N73" s="38"/>
      <c r="O73" s="5"/>
    </row>
    <row r="74" spans="1:16">
      <c r="A74" s="58"/>
      <c r="B74" s="31"/>
      <c r="C74" s="24" t="s">
        <v>15</v>
      </c>
      <c r="D74" s="1">
        <f t="shared" si="21"/>
        <v>20756.504000000001</v>
      </c>
      <c r="E74" s="1">
        <f t="shared" si="21"/>
        <v>20557.5</v>
      </c>
      <c r="F74" s="2">
        <f>F73</f>
        <v>8162.8039999999992</v>
      </c>
      <c r="G74" s="2">
        <f>6351.7+1612.1</f>
        <v>7963.7999999999993</v>
      </c>
      <c r="H74" s="24"/>
      <c r="I74" s="2">
        <v>0</v>
      </c>
      <c r="J74" s="2">
        <f>K74</f>
        <v>5614.7</v>
      </c>
      <c r="K74" s="2">
        <v>5614.7</v>
      </c>
      <c r="L74" s="2">
        <f>7100-L81</f>
        <v>6979</v>
      </c>
      <c r="M74" s="2">
        <f>L74</f>
        <v>6979</v>
      </c>
      <c r="N74" s="38"/>
      <c r="O74" s="5"/>
    </row>
    <row r="75" spans="1:16">
      <c r="A75" s="58"/>
      <c r="B75" s="31"/>
      <c r="C75" s="24" t="s">
        <v>16</v>
      </c>
      <c r="D75" s="1">
        <f t="shared" si="21"/>
        <v>22122.254399999998</v>
      </c>
      <c r="E75" s="1">
        <f t="shared" si="21"/>
        <v>0</v>
      </c>
      <c r="F75" s="2">
        <f>1.1*F74</f>
        <v>8979.0843999999997</v>
      </c>
      <c r="G75" s="2">
        <v>0</v>
      </c>
      <c r="H75" s="24"/>
      <c r="I75" s="2">
        <v>0</v>
      </c>
      <c r="J75" s="2">
        <f>1.1*J74</f>
        <v>6176.17</v>
      </c>
      <c r="K75" s="2">
        <v>0</v>
      </c>
      <c r="L75" s="2">
        <f>7100-L82</f>
        <v>6967</v>
      </c>
      <c r="M75" s="2"/>
      <c r="N75" s="38"/>
      <c r="O75" s="5"/>
    </row>
    <row r="76" spans="1:16">
      <c r="A76" s="58"/>
      <c r="B76" s="31"/>
      <c r="C76" s="24" t="s">
        <v>17</v>
      </c>
      <c r="D76" s="1">
        <f t="shared" si="21"/>
        <v>23624.779840000003</v>
      </c>
      <c r="E76" s="1">
        <f t="shared" si="21"/>
        <v>0</v>
      </c>
      <c r="F76" s="2">
        <f>1.1*F75</f>
        <v>9876.9928400000008</v>
      </c>
      <c r="G76" s="2">
        <v>0</v>
      </c>
      <c r="H76" s="24"/>
      <c r="I76" s="2">
        <v>0</v>
      </c>
      <c r="J76" s="2">
        <f>1.1*J75</f>
        <v>6793.7870000000003</v>
      </c>
      <c r="K76" s="2">
        <v>0</v>
      </c>
      <c r="L76" s="2">
        <f>7100-L83</f>
        <v>6954</v>
      </c>
      <c r="M76" s="2"/>
      <c r="N76" s="38"/>
      <c r="O76" s="5"/>
    </row>
    <row r="77" spans="1:16">
      <c r="A77" s="58"/>
      <c r="B77" s="31"/>
      <c r="C77" s="24" t="s">
        <v>18</v>
      </c>
      <c r="D77" s="1">
        <f t="shared" si="21"/>
        <v>25276.857824000002</v>
      </c>
      <c r="E77" s="1">
        <f t="shared" si="21"/>
        <v>0</v>
      </c>
      <c r="F77" s="2">
        <f>1.1*F76</f>
        <v>10864.692124000001</v>
      </c>
      <c r="G77" s="2">
        <v>0</v>
      </c>
      <c r="H77" s="24"/>
      <c r="I77" s="2">
        <v>0</v>
      </c>
      <c r="J77" s="2">
        <f>1.1*J76</f>
        <v>7473.1657000000005</v>
      </c>
      <c r="K77" s="2">
        <v>0</v>
      </c>
      <c r="L77" s="2">
        <f>7100-L84</f>
        <v>6939</v>
      </c>
      <c r="M77" s="2"/>
      <c r="N77" s="38"/>
      <c r="O77" s="5"/>
    </row>
    <row r="78" spans="1:16" s="17" customFormat="1" ht="18.75" customHeight="1">
      <c r="A78" s="58"/>
      <c r="B78" s="51" t="s">
        <v>51</v>
      </c>
      <c r="C78" s="24" t="s">
        <v>12</v>
      </c>
      <c r="D78" s="1">
        <f>SUM(D79:D84)</f>
        <v>2122.02</v>
      </c>
      <c r="E78" s="1">
        <f>SUM(E79:E84)</f>
        <v>221</v>
      </c>
      <c r="F78" s="2">
        <f t="shared" ref="F78:M78" si="22">SUM(F79:F84)</f>
        <v>1461.02</v>
      </c>
      <c r="G78" s="2">
        <f>SUM(G79:G84)</f>
        <v>0</v>
      </c>
      <c r="H78" s="2">
        <f t="shared" si="22"/>
        <v>0</v>
      </c>
      <c r="I78" s="2">
        <f t="shared" si="22"/>
        <v>0</v>
      </c>
      <c r="J78" s="2">
        <f t="shared" si="22"/>
        <v>0</v>
      </c>
      <c r="K78" s="2">
        <f t="shared" si="22"/>
        <v>0</v>
      </c>
      <c r="L78" s="2">
        <f t="shared" si="22"/>
        <v>661</v>
      </c>
      <c r="M78" s="2">
        <f t="shared" si="22"/>
        <v>221</v>
      </c>
      <c r="N78" s="38"/>
      <c r="O78" s="3"/>
    </row>
    <row r="79" spans="1:16" ht="18.75" customHeight="1">
      <c r="A79" s="58"/>
      <c r="B79" s="32"/>
      <c r="C79" s="24" t="s">
        <v>13</v>
      </c>
      <c r="D79" s="1">
        <f t="shared" ref="D79:E84" si="23">F79+H79+J79+L79</f>
        <v>220</v>
      </c>
      <c r="E79" s="1">
        <f t="shared" si="23"/>
        <v>0</v>
      </c>
      <c r="F79" s="2">
        <v>220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f>L79</f>
        <v>0</v>
      </c>
      <c r="N79" s="38"/>
      <c r="O79" s="5"/>
    </row>
    <row r="80" spans="1:16" ht="18.75" customHeight="1">
      <c r="A80" s="58"/>
      <c r="B80" s="32"/>
      <c r="C80" s="24" t="s">
        <v>14</v>
      </c>
      <c r="D80" s="1">
        <f t="shared" si="23"/>
        <v>320</v>
      </c>
      <c r="E80" s="1">
        <f t="shared" si="23"/>
        <v>100</v>
      </c>
      <c r="F80" s="2">
        <f>F79</f>
        <v>220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100</v>
      </c>
      <c r="M80" s="2">
        <f>L80</f>
        <v>100</v>
      </c>
      <c r="N80" s="38"/>
      <c r="O80" s="5"/>
    </row>
    <row r="81" spans="1:16" ht="18.75" customHeight="1">
      <c r="A81" s="58"/>
      <c r="B81" s="32"/>
      <c r="C81" s="24" t="s">
        <v>15</v>
      </c>
      <c r="D81" s="1">
        <f t="shared" si="23"/>
        <v>341</v>
      </c>
      <c r="E81" s="1">
        <f t="shared" si="23"/>
        <v>121</v>
      </c>
      <c r="F81" s="2">
        <f>F80</f>
        <v>220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121</v>
      </c>
      <c r="M81" s="2">
        <f>L81</f>
        <v>121</v>
      </c>
      <c r="N81" s="38"/>
      <c r="O81" s="5"/>
    </row>
    <row r="82" spans="1:16" ht="18.75" customHeight="1">
      <c r="A82" s="58"/>
      <c r="B82" s="32"/>
      <c r="C82" s="24" t="s">
        <v>16</v>
      </c>
      <c r="D82" s="1">
        <f t="shared" si="23"/>
        <v>375</v>
      </c>
      <c r="E82" s="1">
        <f t="shared" si="23"/>
        <v>0</v>
      </c>
      <c r="F82" s="2">
        <f>1.1*F81</f>
        <v>242.00000000000003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133</v>
      </c>
      <c r="M82" s="2"/>
      <c r="N82" s="38"/>
      <c r="O82" s="5"/>
    </row>
    <row r="83" spans="1:16" ht="18.75" customHeight="1">
      <c r="A83" s="58"/>
      <c r="B83" s="32"/>
      <c r="C83" s="24" t="s">
        <v>17</v>
      </c>
      <c r="D83" s="1">
        <f t="shared" si="23"/>
        <v>412.20000000000005</v>
      </c>
      <c r="E83" s="1">
        <f t="shared" si="23"/>
        <v>0</v>
      </c>
      <c r="F83" s="2">
        <f>1.1*F82</f>
        <v>266.20000000000005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146</v>
      </c>
      <c r="M83" s="2"/>
      <c r="N83" s="38"/>
      <c r="O83" s="5"/>
    </row>
    <row r="84" spans="1:16" ht="18.75" customHeight="1">
      <c r="A84" s="59"/>
      <c r="B84" s="33"/>
      <c r="C84" s="24" t="s">
        <v>18</v>
      </c>
      <c r="D84" s="1">
        <f t="shared" si="23"/>
        <v>453.82000000000005</v>
      </c>
      <c r="E84" s="1">
        <f t="shared" si="23"/>
        <v>0</v>
      </c>
      <c r="F84" s="2">
        <f>1.1*F83</f>
        <v>292.82000000000005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161</v>
      </c>
      <c r="M84" s="2"/>
      <c r="N84" s="39"/>
      <c r="O84" s="5"/>
    </row>
    <row r="85" spans="1:16" s="16" customFormat="1">
      <c r="A85" s="35" t="s">
        <v>20</v>
      </c>
      <c r="B85" s="27" t="s">
        <v>58</v>
      </c>
      <c r="C85" s="25" t="s">
        <v>12</v>
      </c>
      <c r="D85" s="1">
        <f>SUM(D86:D91)</f>
        <v>1480539.6074000001</v>
      </c>
      <c r="E85" s="1">
        <f t="shared" ref="E85:M85" si="24">SUM(E86:E91)</f>
        <v>554633.30000000005</v>
      </c>
      <c r="F85" s="1">
        <f>SUM(F86:F91)</f>
        <v>787687.5602000003</v>
      </c>
      <c r="G85" s="1">
        <f t="shared" si="24"/>
        <v>311480.5</v>
      </c>
      <c r="H85" s="1">
        <f t="shared" si="24"/>
        <v>15000</v>
      </c>
      <c r="I85" s="1">
        <f t="shared" si="24"/>
        <v>0</v>
      </c>
      <c r="J85" s="1">
        <f t="shared" si="24"/>
        <v>498926.34719999996</v>
      </c>
      <c r="K85" s="1">
        <f t="shared" si="24"/>
        <v>151627</v>
      </c>
      <c r="L85" s="1">
        <f t="shared" si="24"/>
        <v>178925.69999999998</v>
      </c>
      <c r="M85" s="1">
        <f t="shared" si="24"/>
        <v>91525.8</v>
      </c>
      <c r="N85" s="37" t="s">
        <v>46</v>
      </c>
      <c r="O85" s="5"/>
    </row>
    <row r="86" spans="1:16" s="16" customFormat="1" ht="15.75" customHeight="1">
      <c r="A86" s="36"/>
      <c r="B86" s="47" t="s">
        <v>21</v>
      </c>
      <c r="C86" s="25" t="s">
        <v>13</v>
      </c>
      <c r="D86" s="1">
        <f>F86+H86+J86+L86</f>
        <v>180341.60000000003</v>
      </c>
      <c r="E86" s="1">
        <f t="shared" ref="D86:E91" si="25">G86+I86+K86+M86</f>
        <v>162018.30000000002</v>
      </c>
      <c r="F86" s="1">
        <f t="shared" ref="F86:M86" si="26">F93+F100+F107+F114+F121+F128+F135+F142</f>
        <v>116756.20000000003</v>
      </c>
      <c r="G86" s="1">
        <f t="shared" si="26"/>
        <v>104347.90000000002</v>
      </c>
      <c r="H86" s="1">
        <f t="shared" si="26"/>
        <v>2500</v>
      </c>
      <c r="I86" s="1">
        <f t="shared" si="26"/>
        <v>0</v>
      </c>
      <c r="J86" s="1">
        <f t="shared" si="26"/>
        <v>27766.899999999998</v>
      </c>
      <c r="K86" s="1">
        <f t="shared" si="26"/>
        <v>24351.899999999998</v>
      </c>
      <c r="L86" s="1">
        <f t="shared" si="26"/>
        <v>33318.5</v>
      </c>
      <c r="M86" s="1">
        <f t="shared" si="26"/>
        <v>33318.5</v>
      </c>
      <c r="N86" s="38"/>
      <c r="O86" s="5"/>
      <c r="P86" s="15"/>
    </row>
    <row r="87" spans="1:16" s="16" customFormat="1">
      <c r="A87" s="36"/>
      <c r="B87" s="47"/>
      <c r="C87" s="25" t="s">
        <v>14</v>
      </c>
      <c r="D87" s="1">
        <f t="shared" si="25"/>
        <v>204177.60000000003</v>
      </c>
      <c r="E87" s="1">
        <f t="shared" si="25"/>
        <v>184936.69999999998</v>
      </c>
      <c r="F87" s="1">
        <f t="shared" ref="F87:K91" si="27">F94+F101+F108+F115+F122+F129+F136+F143</f>
        <v>116756.20000000003</v>
      </c>
      <c r="G87" s="1">
        <f>G94+G101+G108+G115+G122+G129+G136+G143</f>
        <v>103566.29999999999</v>
      </c>
      <c r="H87" s="1">
        <f t="shared" si="27"/>
        <v>2500</v>
      </c>
      <c r="I87" s="1">
        <f t="shared" si="27"/>
        <v>0</v>
      </c>
      <c r="J87" s="1">
        <f t="shared" si="27"/>
        <v>55847.4</v>
      </c>
      <c r="K87" s="1">
        <f t="shared" si="27"/>
        <v>52296.4</v>
      </c>
      <c r="L87" s="1">
        <f t="shared" ref="L87:M91" si="28">L94+L101+L108+L115+L122+L129+L136+L143</f>
        <v>29074</v>
      </c>
      <c r="M87" s="1">
        <f t="shared" si="28"/>
        <v>29074</v>
      </c>
      <c r="N87" s="38"/>
      <c r="O87" s="5"/>
    </row>
    <row r="88" spans="1:16" s="16" customFormat="1">
      <c r="A88" s="36"/>
      <c r="B88" s="47"/>
      <c r="C88" s="25" t="s">
        <v>15</v>
      </c>
      <c r="D88" s="1">
        <f t="shared" si="25"/>
        <v>227062.40000000002</v>
      </c>
      <c r="E88" s="1">
        <f t="shared" si="25"/>
        <v>207678.3</v>
      </c>
      <c r="F88" s="1">
        <f t="shared" si="27"/>
        <v>116856.20000000003</v>
      </c>
      <c r="G88" s="1">
        <f t="shared" si="27"/>
        <v>103566.29999999999</v>
      </c>
      <c r="H88" s="1">
        <f t="shared" si="27"/>
        <v>2500</v>
      </c>
      <c r="I88" s="1">
        <f t="shared" si="27"/>
        <v>0</v>
      </c>
      <c r="J88" s="1">
        <f t="shared" si="27"/>
        <v>78572.899999999994</v>
      </c>
      <c r="K88" s="1">
        <f t="shared" si="27"/>
        <v>74978.7</v>
      </c>
      <c r="L88" s="1">
        <f t="shared" si="28"/>
        <v>29133.3</v>
      </c>
      <c r="M88" s="1">
        <f t="shared" si="28"/>
        <v>29133.3</v>
      </c>
      <c r="N88" s="38"/>
      <c r="O88" s="5"/>
    </row>
    <row r="89" spans="1:16" s="16" customFormat="1">
      <c r="A89" s="36"/>
      <c r="B89" s="47"/>
      <c r="C89" s="25" t="s">
        <v>16</v>
      </c>
      <c r="D89" s="1">
        <f t="shared" si="25"/>
        <v>257130.2</v>
      </c>
      <c r="E89" s="1">
        <f t="shared" si="25"/>
        <v>0</v>
      </c>
      <c r="F89" s="1">
        <f t="shared" si="27"/>
        <v>132511.42000000004</v>
      </c>
      <c r="G89" s="1">
        <f t="shared" si="27"/>
        <v>0</v>
      </c>
      <c r="H89" s="1">
        <f t="shared" si="27"/>
        <v>2500</v>
      </c>
      <c r="I89" s="1">
        <f t="shared" si="27"/>
        <v>0</v>
      </c>
      <c r="J89" s="1">
        <f t="shared" si="27"/>
        <v>92985.479999999981</v>
      </c>
      <c r="K89" s="1">
        <f t="shared" si="27"/>
        <v>0</v>
      </c>
      <c r="L89" s="1">
        <f t="shared" si="28"/>
        <v>29133.3</v>
      </c>
      <c r="M89" s="1">
        <f t="shared" si="28"/>
        <v>0</v>
      </c>
      <c r="N89" s="38"/>
      <c r="O89" s="5"/>
    </row>
    <row r="90" spans="1:16" s="16" customFormat="1">
      <c r="A90" s="36"/>
      <c r="B90" s="47"/>
      <c r="C90" s="25" t="s">
        <v>17</v>
      </c>
      <c r="D90" s="1">
        <f t="shared" si="25"/>
        <v>287963.23800000001</v>
      </c>
      <c r="E90" s="1">
        <f t="shared" si="25"/>
        <v>0</v>
      </c>
      <c r="F90" s="1">
        <f t="shared" si="27"/>
        <v>145287.36200000005</v>
      </c>
      <c r="G90" s="1">
        <f t="shared" si="27"/>
        <v>0</v>
      </c>
      <c r="H90" s="1">
        <f t="shared" si="27"/>
        <v>2500</v>
      </c>
      <c r="I90" s="1">
        <f t="shared" si="27"/>
        <v>0</v>
      </c>
      <c r="J90" s="1">
        <f t="shared" si="27"/>
        <v>111042.57599999999</v>
      </c>
      <c r="K90" s="1">
        <f t="shared" si="27"/>
        <v>0</v>
      </c>
      <c r="L90" s="1">
        <f t="shared" si="28"/>
        <v>29133.3</v>
      </c>
      <c r="M90" s="1">
        <f t="shared" si="28"/>
        <v>0</v>
      </c>
      <c r="N90" s="38"/>
      <c r="O90" s="5"/>
    </row>
    <row r="91" spans="1:16" s="16" customFormat="1">
      <c r="A91" s="36"/>
      <c r="B91" s="47"/>
      <c r="C91" s="25" t="s">
        <v>18</v>
      </c>
      <c r="D91" s="1">
        <f t="shared" si="25"/>
        <v>323864.56940000004</v>
      </c>
      <c r="E91" s="1">
        <f t="shared" si="25"/>
        <v>0</v>
      </c>
      <c r="F91" s="1">
        <f t="shared" si="27"/>
        <v>159520.17820000008</v>
      </c>
      <c r="G91" s="1">
        <f t="shared" si="27"/>
        <v>0</v>
      </c>
      <c r="H91" s="1">
        <f t="shared" si="27"/>
        <v>2500</v>
      </c>
      <c r="I91" s="1">
        <f t="shared" si="27"/>
        <v>0</v>
      </c>
      <c r="J91" s="1">
        <f t="shared" si="27"/>
        <v>132711.09119999997</v>
      </c>
      <c r="K91" s="1">
        <f t="shared" si="27"/>
        <v>0</v>
      </c>
      <c r="L91" s="1">
        <f t="shared" si="28"/>
        <v>29133.3</v>
      </c>
      <c r="M91" s="1">
        <f t="shared" si="28"/>
        <v>0</v>
      </c>
      <c r="N91" s="38"/>
      <c r="O91" s="5"/>
    </row>
    <row r="92" spans="1:16" s="4" customFormat="1" ht="15.75" customHeight="1">
      <c r="A92" s="36"/>
      <c r="B92" s="31" t="s">
        <v>30</v>
      </c>
      <c r="C92" s="24" t="s">
        <v>12</v>
      </c>
      <c r="D92" s="1">
        <f t="shared" ref="D92:M92" si="29">SUM(D93:D98)</f>
        <v>1373144.7118000002</v>
      </c>
      <c r="E92" s="1">
        <f t="shared" si="29"/>
        <v>549240.89999999991</v>
      </c>
      <c r="F92" s="2">
        <f t="shared" si="29"/>
        <v>721492.85020000022</v>
      </c>
      <c r="G92" s="2">
        <f t="shared" si="29"/>
        <v>309498.90000000002</v>
      </c>
      <c r="H92" s="2">
        <f t="shared" si="29"/>
        <v>0</v>
      </c>
      <c r="I92" s="2">
        <f t="shared" si="29"/>
        <v>0</v>
      </c>
      <c r="J92" s="2">
        <f t="shared" si="29"/>
        <v>479133.96159999992</v>
      </c>
      <c r="K92" s="2">
        <f t="shared" si="29"/>
        <v>151627</v>
      </c>
      <c r="L92" s="2">
        <f t="shared" si="29"/>
        <v>172517.9</v>
      </c>
      <c r="M92" s="2">
        <f t="shared" si="29"/>
        <v>88115</v>
      </c>
      <c r="N92" s="38"/>
      <c r="O92" s="3"/>
    </row>
    <row r="93" spans="1:16">
      <c r="A93" s="36"/>
      <c r="B93" s="31"/>
      <c r="C93" s="24" t="s">
        <v>13</v>
      </c>
      <c r="D93" s="1">
        <f t="shared" ref="D93:E98" si="30">F93+H93+J93+L93</f>
        <v>164731.80000000005</v>
      </c>
      <c r="E93" s="1">
        <f t="shared" si="30"/>
        <v>160327.90000000002</v>
      </c>
      <c r="F93" s="2">
        <f>7559.8-2100+G93-1400+344.1</f>
        <v>108642.20000000003</v>
      </c>
      <c r="G93" s="2">
        <f>101231.4+900+374.1+1400+2754+42.1+20+100+600+30-310.4-1290.5-101-1511.4</f>
        <v>104238.30000000002</v>
      </c>
      <c r="H93" s="2">
        <v>0</v>
      </c>
      <c r="I93" s="2">
        <v>0</v>
      </c>
      <c r="J93" s="2">
        <f>K93</f>
        <v>24351.899999999998</v>
      </c>
      <c r="K93" s="2">
        <f>46674.9-8415.4-12298.9-1608.7</f>
        <v>24351.899999999998</v>
      </c>
      <c r="L93" s="2">
        <f>33318.5-L100-L107-L114-L121-L128-L142</f>
        <v>31737.7</v>
      </c>
      <c r="M93" s="2">
        <f>33318.5-M100-M107-M114-M121-M128-M142</f>
        <v>31737.7</v>
      </c>
      <c r="N93" s="38"/>
      <c r="O93" s="5"/>
    </row>
    <row r="94" spans="1:16">
      <c r="A94" s="36"/>
      <c r="B94" s="31"/>
      <c r="C94" s="24" t="s">
        <v>14</v>
      </c>
      <c r="D94" s="1">
        <f t="shared" si="30"/>
        <v>189132.60000000003</v>
      </c>
      <c r="E94" s="1">
        <f t="shared" si="30"/>
        <v>183120.69999999998</v>
      </c>
      <c r="F94" s="2">
        <f>F93</f>
        <v>108642.20000000003</v>
      </c>
      <c r="G94" s="2">
        <f>101231.4+900+498.9</f>
        <v>102630.29999999999</v>
      </c>
      <c r="H94" s="2">
        <v>0</v>
      </c>
      <c r="I94" s="2">
        <v>0</v>
      </c>
      <c r="J94" s="2">
        <f>K94</f>
        <v>52296.4</v>
      </c>
      <c r="K94" s="2">
        <f>62808-14881.6+4370</f>
        <v>52296.4</v>
      </c>
      <c r="L94" s="2">
        <f>29074-L101-L108-L115-L122-L129</f>
        <v>28194</v>
      </c>
      <c r="M94" s="2">
        <f>L94</f>
        <v>28194</v>
      </c>
      <c r="N94" s="38"/>
      <c r="O94" s="5"/>
    </row>
    <row r="95" spans="1:16">
      <c r="A95" s="36"/>
      <c r="B95" s="31"/>
      <c r="C95" s="24" t="s">
        <v>15</v>
      </c>
      <c r="D95" s="1">
        <f t="shared" si="30"/>
        <v>211804.2</v>
      </c>
      <c r="E95" s="1">
        <f t="shared" si="30"/>
        <v>205792.3</v>
      </c>
      <c r="F95" s="2">
        <f>F94</f>
        <v>108642.20000000003</v>
      </c>
      <c r="G95" s="2">
        <f>101231.4+900+498.9</f>
        <v>102630.29999999999</v>
      </c>
      <c r="H95" s="2">
        <v>0</v>
      </c>
      <c r="I95" s="2">
        <v>0</v>
      </c>
      <c r="J95" s="2">
        <f>K95</f>
        <v>74978.7</v>
      </c>
      <c r="K95" s="2">
        <v>74978.7</v>
      </c>
      <c r="L95" s="2">
        <f>29133.3-L102-L109-L116-L123-L130</f>
        <v>28183.3</v>
      </c>
      <c r="M95" s="2">
        <f>L95</f>
        <v>28183.3</v>
      </c>
      <c r="N95" s="38"/>
      <c r="O95" s="5"/>
    </row>
    <row r="96" spans="1:16">
      <c r="A96" s="36"/>
      <c r="B96" s="31"/>
      <c r="C96" s="24" t="s">
        <v>16</v>
      </c>
      <c r="D96" s="1">
        <f t="shared" si="30"/>
        <v>237627.16000000003</v>
      </c>
      <c r="E96" s="1">
        <f t="shared" si="30"/>
        <v>0</v>
      </c>
      <c r="F96" s="2">
        <f>1.1*F95</f>
        <v>119506.42000000004</v>
      </c>
      <c r="G96" s="2">
        <v>0</v>
      </c>
      <c r="H96" s="2">
        <v>0</v>
      </c>
      <c r="I96" s="2">
        <v>0</v>
      </c>
      <c r="J96" s="2">
        <f>1.2*J95</f>
        <v>89974.439999999988</v>
      </c>
      <c r="K96" s="2">
        <v>0</v>
      </c>
      <c r="L96" s="2">
        <f>29133.3-L103-L110-L117-L124-L131</f>
        <v>28146.3</v>
      </c>
      <c r="M96" s="2"/>
      <c r="N96" s="38"/>
      <c r="O96" s="5"/>
    </row>
    <row r="97" spans="1:15">
      <c r="A97" s="36"/>
      <c r="B97" s="31"/>
      <c r="C97" s="24" t="s">
        <v>17</v>
      </c>
      <c r="D97" s="1">
        <f t="shared" si="30"/>
        <v>267561.69000000006</v>
      </c>
      <c r="E97" s="1">
        <f t="shared" si="30"/>
        <v>0</v>
      </c>
      <c r="F97" s="2">
        <f>1.1*F96</f>
        <v>131457.06200000006</v>
      </c>
      <c r="G97" s="2">
        <v>0</v>
      </c>
      <c r="H97" s="2">
        <v>0</v>
      </c>
      <c r="I97" s="2">
        <v>0</v>
      </c>
      <c r="J97" s="2">
        <f>1.2*J96</f>
        <v>107969.32799999998</v>
      </c>
      <c r="K97" s="2">
        <v>0</v>
      </c>
      <c r="L97" s="2">
        <f>29133.3-L104-L111-L118-L125-L132</f>
        <v>28135.3</v>
      </c>
      <c r="M97" s="2"/>
      <c r="N97" s="38"/>
      <c r="O97" s="5"/>
    </row>
    <row r="98" spans="1:15">
      <c r="A98" s="36"/>
      <c r="B98" s="31"/>
      <c r="C98" s="24" t="s">
        <v>18</v>
      </c>
      <c r="D98" s="1">
        <f t="shared" si="30"/>
        <v>302287.26180000004</v>
      </c>
      <c r="E98" s="1">
        <f t="shared" si="30"/>
        <v>0</v>
      </c>
      <c r="F98" s="2">
        <f>1.1*F97</f>
        <v>144602.76820000008</v>
      </c>
      <c r="G98" s="2">
        <v>0</v>
      </c>
      <c r="H98" s="2">
        <v>0</v>
      </c>
      <c r="I98" s="2">
        <v>0</v>
      </c>
      <c r="J98" s="2">
        <f>1.2*J97</f>
        <v>129563.19359999997</v>
      </c>
      <c r="K98" s="2">
        <v>0</v>
      </c>
      <c r="L98" s="2">
        <f>29133.3-L105-L112-L119-L126-L133</f>
        <v>28121.3</v>
      </c>
      <c r="M98" s="2"/>
      <c r="N98" s="38"/>
      <c r="O98" s="5"/>
    </row>
    <row r="99" spans="1:15" s="4" customFormat="1" ht="15.75" customHeight="1">
      <c r="A99" s="36"/>
      <c r="B99" s="31" t="s">
        <v>31</v>
      </c>
      <c r="C99" s="24" t="s">
        <v>12</v>
      </c>
      <c r="D99" s="1">
        <f t="shared" ref="D99:M99" si="31">SUM(D100:D105)</f>
        <v>15654.25</v>
      </c>
      <c r="E99" s="1">
        <f t="shared" si="31"/>
        <v>310</v>
      </c>
      <c r="F99" s="2">
        <f t="shared" si="31"/>
        <v>14942.25</v>
      </c>
      <c r="G99" s="2">
        <f t="shared" si="31"/>
        <v>0</v>
      </c>
      <c r="H99" s="2">
        <f t="shared" si="31"/>
        <v>0</v>
      </c>
      <c r="I99" s="2">
        <f t="shared" si="31"/>
        <v>0</v>
      </c>
      <c r="J99" s="2">
        <f t="shared" si="31"/>
        <v>0</v>
      </c>
      <c r="K99" s="2">
        <f t="shared" si="31"/>
        <v>0</v>
      </c>
      <c r="L99" s="2">
        <f t="shared" si="31"/>
        <v>712</v>
      </c>
      <c r="M99" s="2">
        <f t="shared" si="31"/>
        <v>310</v>
      </c>
      <c r="N99" s="38"/>
      <c r="O99" s="3"/>
    </row>
    <row r="100" spans="1:15">
      <c r="A100" s="36"/>
      <c r="B100" s="31"/>
      <c r="C100" s="24" t="s">
        <v>13</v>
      </c>
      <c r="D100" s="1">
        <f t="shared" ref="D100:E105" si="32">F100+H100+J100+L100</f>
        <v>2350</v>
      </c>
      <c r="E100" s="1">
        <f t="shared" si="32"/>
        <v>100</v>
      </c>
      <c r="F100" s="2">
        <v>2250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100</v>
      </c>
      <c r="M100" s="2">
        <f>L100</f>
        <v>100</v>
      </c>
      <c r="N100" s="38"/>
      <c r="O100" s="5"/>
    </row>
    <row r="101" spans="1:15">
      <c r="A101" s="36"/>
      <c r="B101" s="31"/>
      <c r="C101" s="24" t="s">
        <v>14</v>
      </c>
      <c r="D101" s="1">
        <f t="shared" si="32"/>
        <v>2350</v>
      </c>
      <c r="E101" s="1">
        <f t="shared" si="32"/>
        <v>100</v>
      </c>
      <c r="F101" s="2">
        <f>F100</f>
        <v>2250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100</v>
      </c>
      <c r="M101" s="2">
        <f>L101</f>
        <v>100</v>
      </c>
      <c r="N101" s="38"/>
      <c r="O101" s="5"/>
    </row>
    <row r="102" spans="1:15">
      <c r="A102" s="36"/>
      <c r="B102" s="31"/>
      <c r="C102" s="24" t="s">
        <v>15</v>
      </c>
      <c r="D102" s="1">
        <f t="shared" si="32"/>
        <v>2360</v>
      </c>
      <c r="E102" s="1">
        <f t="shared" si="32"/>
        <v>110</v>
      </c>
      <c r="F102" s="2">
        <f>F101</f>
        <v>2250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110</v>
      </c>
      <c r="M102" s="2">
        <f>L102</f>
        <v>110</v>
      </c>
      <c r="N102" s="38"/>
      <c r="O102" s="5"/>
    </row>
    <row r="103" spans="1:15">
      <c r="A103" s="36"/>
      <c r="B103" s="31"/>
      <c r="C103" s="24" t="s">
        <v>16</v>
      </c>
      <c r="D103" s="1">
        <f t="shared" si="32"/>
        <v>2597</v>
      </c>
      <c r="E103" s="1">
        <f t="shared" si="32"/>
        <v>0</v>
      </c>
      <c r="F103" s="2">
        <f>1.1*F102</f>
        <v>2475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122</v>
      </c>
      <c r="M103" s="2"/>
      <c r="N103" s="38"/>
      <c r="O103" s="5"/>
    </row>
    <row r="104" spans="1:15">
      <c r="A104" s="36"/>
      <c r="B104" s="31"/>
      <c r="C104" s="24" t="s">
        <v>17</v>
      </c>
      <c r="D104" s="1">
        <f t="shared" si="32"/>
        <v>2855.5</v>
      </c>
      <c r="E104" s="1">
        <f t="shared" si="32"/>
        <v>0</v>
      </c>
      <c r="F104" s="2">
        <f>1.1*F103</f>
        <v>2722.5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133</v>
      </c>
      <c r="M104" s="2"/>
      <c r="N104" s="38"/>
      <c r="O104" s="5"/>
    </row>
    <row r="105" spans="1:15">
      <c r="A105" s="36"/>
      <c r="B105" s="31"/>
      <c r="C105" s="24" t="s">
        <v>18</v>
      </c>
      <c r="D105" s="1">
        <f t="shared" si="32"/>
        <v>3141.7500000000005</v>
      </c>
      <c r="E105" s="1">
        <f t="shared" si="32"/>
        <v>0</v>
      </c>
      <c r="F105" s="2">
        <f>1.1*F104</f>
        <v>2994.7500000000005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147</v>
      </c>
      <c r="M105" s="2"/>
      <c r="N105" s="38"/>
      <c r="O105" s="5"/>
    </row>
    <row r="106" spans="1:15" s="4" customFormat="1" ht="15.75" customHeight="1">
      <c r="A106" s="36"/>
      <c r="B106" s="31" t="s">
        <v>32</v>
      </c>
      <c r="C106" s="24" t="s">
        <v>12</v>
      </c>
      <c r="D106" s="1">
        <f>SUM(D107:D112)</f>
        <v>73774</v>
      </c>
      <c r="E106" s="1">
        <f t="shared" ref="E106:M106" si="33">SUM(E107:E112)</f>
        <v>1305</v>
      </c>
      <c r="F106" s="2">
        <f t="shared" si="33"/>
        <v>40044</v>
      </c>
      <c r="G106" s="2">
        <f t="shared" si="33"/>
        <v>280</v>
      </c>
      <c r="H106" s="2">
        <f t="shared" si="33"/>
        <v>15000</v>
      </c>
      <c r="I106" s="2">
        <f t="shared" si="33"/>
        <v>0</v>
      </c>
      <c r="J106" s="2">
        <f t="shared" si="33"/>
        <v>16805</v>
      </c>
      <c r="K106" s="2">
        <f t="shared" si="33"/>
        <v>0</v>
      </c>
      <c r="L106" s="2">
        <f t="shared" si="33"/>
        <v>1925</v>
      </c>
      <c r="M106" s="2">
        <f t="shared" si="33"/>
        <v>1025</v>
      </c>
      <c r="N106" s="38"/>
      <c r="O106" s="3"/>
    </row>
    <row r="107" spans="1:15">
      <c r="A107" s="36"/>
      <c r="B107" s="31"/>
      <c r="C107" s="24" t="s">
        <v>13</v>
      </c>
      <c r="D107" s="1">
        <f t="shared" ref="D107:E112" si="34">F107+H107+J107+L107</f>
        <v>10633</v>
      </c>
      <c r="E107" s="1">
        <f t="shared" si="34"/>
        <v>580</v>
      </c>
      <c r="F107" s="2">
        <f>418+4100+G107</f>
        <v>4598</v>
      </c>
      <c r="G107" s="2">
        <v>80</v>
      </c>
      <c r="H107" s="2">
        <v>2500</v>
      </c>
      <c r="I107" s="2">
        <v>0</v>
      </c>
      <c r="J107" s="2">
        <v>3035</v>
      </c>
      <c r="K107" s="2">
        <v>0</v>
      </c>
      <c r="L107" s="2">
        <v>500</v>
      </c>
      <c r="M107" s="2">
        <f>L107</f>
        <v>500</v>
      </c>
      <c r="N107" s="38"/>
      <c r="O107" s="5"/>
    </row>
    <row r="108" spans="1:15">
      <c r="A108" s="36"/>
      <c r="B108" s="31"/>
      <c r="C108" s="24" t="s">
        <v>14</v>
      </c>
      <c r="D108" s="1">
        <f t="shared" si="34"/>
        <v>10483</v>
      </c>
      <c r="E108" s="1">
        <f t="shared" si="34"/>
        <v>350</v>
      </c>
      <c r="F108" s="2">
        <f>F107</f>
        <v>4598</v>
      </c>
      <c r="G108" s="2">
        <v>100</v>
      </c>
      <c r="H108" s="2">
        <v>2500</v>
      </c>
      <c r="I108" s="2">
        <v>0</v>
      </c>
      <c r="J108" s="2">
        <v>3135</v>
      </c>
      <c r="K108" s="2">
        <v>0</v>
      </c>
      <c r="L108" s="2">
        <v>250</v>
      </c>
      <c r="M108" s="2">
        <f>L108</f>
        <v>250</v>
      </c>
      <c r="N108" s="38"/>
      <c r="O108" s="5"/>
    </row>
    <row r="109" spans="1:15">
      <c r="A109" s="36"/>
      <c r="B109" s="31"/>
      <c r="C109" s="24" t="s">
        <v>15</v>
      </c>
      <c r="D109" s="1">
        <f t="shared" si="34"/>
        <v>10508</v>
      </c>
      <c r="E109" s="1">
        <f t="shared" si="34"/>
        <v>375</v>
      </c>
      <c r="F109" s="2">
        <f>F108</f>
        <v>4598</v>
      </c>
      <c r="G109" s="2">
        <v>100</v>
      </c>
      <c r="H109" s="2">
        <v>2500</v>
      </c>
      <c r="I109" s="2">
        <v>0</v>
      </c>
      <c r="J109" s="2">
        <v>3135</v>
      </c>
      <c r="K109" s="2">
        <v>0</v>
      </c>
      <c r="L109" s="2">
        <v>275</v>
      </c>
      <c r="M109" s="2">
        <f>L109</f>
        <v>275</v>
      </c>
      <c r="N109" s="38"/>
      <c r="O109" s="5"/>
    </row>
    <row r="110" spans="1:15">
      <c r="A110" s="36"/>
      <c r="B110" s="31"/>
      <c r="C110" s="24" t="s">
        <v>16</v>
      </c>
      <c r="D110" s="1">
        <f t="shared" si="34"/>
        <v>14050</v>
      </c>
      <c r="E110" s="1">
        <f t="shared" si="34"/>
        <v>0</v>
      </c>
      <c r="F110" s="2">
        <v>8750</v>
      </c>
      <c r="G110" s="2">
        <v>0</v>
      </c>
      <c r="H110" s="2">
        <v>2500</v>
      </c>
      <c r="I110" s="2">
        <v>0</v>
      </c>
      <c r="J110" s="2">
        <v>2500</v>
      </c>
      <c r="K110" s="2">
        <v>0</v>
      </c>
      <c r="L110" s="2">
        <v>300</v>
      </c>
      <c r="M110" s="2"/>
      <c r="N110" s="38"/>
      <c r="O110" s="5"/>
    </row>
    <row r="111" spans="1:15">
      <c r="A111" s="36"/>
      <c r="B111" s="31"/>
      <c r="C111" s="24" t="s">
        <v>17</v>
      </c>
      <c r="D111" s="1">
        <f t="shared" si="34"/>
        <v>14050</v>
      </c>
      <c r="E111" s="1">
        <f t="shared" si="34"/>
        <v>0</v>
      </c>
      <c r="F111" s="2">
        <v>8750</v>
      </c>
      <c r="G111" s="2">
        <v>0</v>
      </c>
      <c r="H111" s="2">
        <v>2500</v>
      </c>
      <c r="I111" s="2">
        <v>0</v>
      </c>
      <c r="J111" s="2">
        <v>2500</v>
      </c>
      <c r="K111" s="2">
        <v>0</v>
      </c>
      <c r="L111" s="2">
        <v>300</v>
      </c>
      <c r="M111" s="2"/>
      <c r="N111" s="38"/>
      <c r="O111" s="5"/>
    </row>
    <row r="112" spans="1:15">
      <c r="A112" s="36"/>
      <c r="B112" s="31"/>
      <c r="C112" s="24" t="s">
        <v>18</v>
      </c>
      <c r="D112" s="1">
        <f t="shared" si="34"/>
        <v>14050</v>
      </c>
      <c r="E112" s="1">
        <f t="shared" si="34"/>
        <v>0</v>
      </c>
      <c r="F112" s="2">
        <v>8750</v>
      </c>
      <c r="G112" s="2">
        <v>0</v>
      </c>
      <c r="H112" s="2">
        <v>2500</v>
      </c>
      <c r="I112" s="2">
        <v>0</v>
      </c>
      <c r="J112" s="2">
        <v>2500</v>
      </c>
      <c r="K112" s="2">
        <v>0</v>
      </c>
      <c r="L112" s="2">
        <v>300</v>
      </c>
      <c r="M112" s="2"/>
      <c r="N112" s="38"/>
      <c r="O112" s="5"/>
    </row>
    <row r="113" spans="1:15" s="4" customFormat="1" ht="15.75" customHeight="1">
      <c r="A113" s="36"/>
      <c r="B113" s="31" t="s">
        <v>33</v>
      </c>
      <c r="C113" s="24" t="s">
        <v>12</v>
      </c>
      <c r="D113" s="1">
        <f>SUM(D114:D119)</f>
        <v>6347.5</v>
      </c>
      <c r="E113" s="1">
        <f t="shared" ref="E113:M113" si="35">SUM(E114:E119)</f>
        <v>740</v>
      </c>
      <c r="F113" s="2">
        <f t="shared" si="35"/>
        <v>5267.5</v>
      </c>
      <c r="G113" s="2">
        <f t="shared" si="35"/>
        <v>200</v>
      </c>
      <c r="H113" s="2">
        <f t="shared" si="35"/>
        <v>0</v>
      </c>
      <c r="I113" s="2">
        <f t="shared" si="35"/>
        <v>0</v>
      </c>
      <c r="J113" s="2">
        <f t="shared" si="35"/>
        <v>0</v>
      </c>
      <c r="K113" s="2">
        <f t="shared" si="35"/>
        <v>0</v>
      </c>
      <c r="L113" s="2">
        <f t="shared" si="35"/>
        <v>1080</v>
      </c>
      <c r="M113" s="2">
        <f t="shared" si="35"/>
        <v>540</v>
      </c>
      <c r="N113" s="38"/>
      <c r="O113" s="3"/>
    </row>
    <row r="114" spans="1:15">
      <c r="A114" s="36"/>
      <c r="B114" s="31"/>
      <c r="C114" s="24" t="s">
        <v>13</v>
      </c>
      <c r="D114" s="1">
        <f t="shared" ref="D114:E119" si="36">F114+H114+J114+L114</f>
        <v>620</v>
      </c>
      <c r="E114" s="1">
        <f t="shared" si="36"/>
        <v>180</v>
      </c>
      <c r="F114" s="2">
        <f>440+G114</f>
        <v>440</v>
      </c>
      <c r="G114" s="2"/>
      <c r="H114" s="2">
        <v>0</v>
      </c>
      <c r="I114" s="2">
        <v>0</v>
      </c>
      <c r="J114" s="2">
        <v>0</v>
      </c>
      <c r="K114" s="2">
        <v>0</v>
      </c>
      <c r="L114" s="2">
        <v>180</v>
      </c>
      <c r="M114" s="2">
        <f>L114</f>
        <v>180</v>
      </c>
      <c r="N114" s="38"/>
      <c r="O114" s="5"/>
    </row>
    <row r="115" spans="1:15">
      <c r="A115" s="36"/>
      <c r="B115" s="31"/>
      <c r="C115" s="24" t="s">
        <v>14</v>
      </c>
      <c r="D115" s="1">
        <f t="shared" si="36"/>
        <v>620</v>
      </c>
      <c r="E115" s="1">
        <f t="shared" si="36"/>
        <v>280</v>
      </c>
      <c r="F115" s="2">
        <f>F114</f>
        <v>440</v>
      </c>
      <c r="G115" s="2">
        <v>100</v>
      </c>
      <c r="H115" s="2">
        <v>0</v>
      </c>
      <c r="I115" s="2">
        <v>0</v>
      </c>
      <c r="J115" s="2">
        <v>0</v>
      </c>
      <c r="K115" s="2">
        <v>0</v>
      </c>
      <c r="L115" s="2">
        <v>180</v>
      </c>
      <c r="M115" s="2">
        <f>L115</f>
        <v>180</v>
      </c>
      <c r="N115" s="38"/>
      <c r="O115" s="5"/>
    </row>
    <row r="116" spans="1:15">
      <c r="A116" s="36"/>
      <c r="B116" s="31"/>
      <c r="C116" s="24" t="s">
        <v>15</v>
      </c>
      <c r="D116" s="1">
        <f t="shared" si="36"/>
        <v>720</v>
      </c>
      <c r="E116" s="1">
        <f t="shared" si="36"/>
        <v>280</v>
      </c>
      <c r="F116" s="2">
        <v>540</v>
      </c>
      <c r="G116" s="2">
        <v>100</v>
      </c>
      <c r="H116" s="2">
        <v>0</v>
      </c>
      <c r="I116" s="2">
        <v>0</v>
      </c>
      <c r="J116" s="2">
        <v>0</v>
      </c>
      <c r="K116" s="2">
        <v>0</v>
      </c>
      <c r="L116" s="2">
        <v>180</v>
      </c>
      <c r="M116" s="2">
        <f>L116</f>
        <v>180</v>
      </c>
      <c r="N116" s="38"/>
      <c r="O116" s="5"/>
    </row>
    <row r="117" spans="1:15">
      <c r="A117" s="36"/>
      <c r="B117" s="31"/>
      <c r="C117" s="24" t="s">
        <v>16</v>
      </c>
      <c r="D117" s="1">
        <f t="shared" si="36"/>
        <v>990</v>
      </c>
      <c r="E117" s="1">
        <f t="shared" si="36"/>
        <v>0</v>
      </c>
      <c r="F117" s="2">
        <f>1.5*F116</f>
        <v>810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180</v>
      </c>
      <c r="M117" s="2"/>
      <c r="N117" s="38"/>
      <c r="O117" s="5"/>
    </row>
    <row r="118" spans="1:15">
      <c r="A118" s="36"/>
      <c r="B118" s="31"/>
      <c r="C118" s="24" t="s">
        <v>17</v>
      </c>
      <c r="D118" s="1">
        <f t="shared" si="36"/>
        <v>1395</v>
      </c>
      <c r="E118" s="1">
        <f t="shared" si="36"/>
        <v>0</v>
      </c>
      <c r="F118" s="2">
        <f>1.5*F117</f>
        <v>1215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180</v>
      </c>
      <c r="M118" s="2"/>
      <c r="N118" s="38"/>
      <c r="O118" s="5"/>
    </row>
    <row r="119" spans="1:15">
      <c r="A119" s="36"/>
      <c r="B119" s="31"/>
      <c r="C119" s="24" t="s">
        <v>18</v>
      </c>
      <c r="D119" s="1">
        <f t="shared" si="36"/>
        <v>2002.5</v>
      </c>
      <c r="E119" s="1">
        <f t="shared" si="36"/>
        <v>0</v>
      </c>
      <c r="F119" s="2">
        <f>1.5*F118</f>
        <v>1822.5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180</v>
      </c>
      <c r="M119" s="2"/>
      <c r="N119" s="38"/>
      <c r="O119" s="5"/>
    </row>
    <row r="120" spans="1:15" s="4" customFormat="1" ht="18.75" customHeight="1">
      <c r="A120" s="36"/>
      <c r="B120" s="31" t="s">
        <v>49</v>
      </c>
      <c r="C120" s="24" t="s">
        <v>12</v>
      </c>
      <c r="D120" s="1">
        <f>SUM(D121:D126)</f>
        <v>4060.1455999999998</v>
      </c>
      <c r="E120" s="1">
        <f t="shared" ref="E120:M120" si="37">SUM(E121:E126)</f>
        <v>411.4</v>
      </c>
      <c r="F120" s="2">
        <f t="shared" si="37"/>
        <v>1620.96</v>
      </c>
      <c r="G120" s="2">
        <f t="shared" si="37"/>
        <v>89.6</v>
      </c>
      <c r="H120" s="2">
        <f t="shared" si="37"/>
        <v>0</v>
      </c>
      <c r="I120" s="2">
        <f t="shared" si="37"/>
        <v>0</v>
      </c>
      <c r="J120" s="2">
        <f t="shared" si="37"/>
        <v>1787.3855999999996</v>
      </c>
      <c r="K120" s="2">
        <f t="shared" si="37"/>
        <v>0</v>
      </c>
      <c r="L120" s="2">
        <f t="shared" si="37"/>
        <v>651.79999999999995</v>
      </c>
      <c r="M120" s="2">
        <f t="shared" si="37"/>
        <v>321.8</v>
      </c>
      <c r="N120" s="38"/>
      <c r="O120" s="3"/>
    </row>
    <row r="121" spans="1:15" ht="18.75" customHeight="1">
      <c r="A121" s="36"/>
      <c r="B121" s="31"/>
      <c r="C121" s="24" t="s">
        <v>13</v>
      </c>
      <c r="D121" s="1">
        <f t="shared" ref="D121:E126" si="38">F121+H121+J121+L121</f>
        <v>511.8</v>
      </c>
      <c r="E121" s="1">
        <f t="shared" si="38"/>
        <v>141.4</v>
      </c>
      <c r="F121" s="2">
        <v>220</v>
      </c>
      <c r="G121" s="2">
        <v>29.6</v>
      </c>
      <c r="H121" s="2"/>
      <c r="I121" s="2"/>
      <c r="J121" s="2">
        <v>180</v>
      </c>
      <c r="K121" s="2"/>
      <c r="L121" s="2">
        <v>111.8</v>
      </c>
      <c r="M121" s="2">
        <f>L121</f>
        <v>111.8</v>
      </c>
      <c r="N121" s="38"/>
      <c r="O121" s="5"/>
    </row>
    <row r="122" spans="1:15" ht="18.75" customHeight="1">
      <c r="A122" s="36"/>
      <c r="B122" s="31"/>
      <c r="C122" s="24" t="s">
        <v>14</v>
      </c>
      <c r="D122" s="1">
        <f t="shared" si="38"/>
        <v>536</v>
      </c>
      <c r="E122" s="1">
        <f t="shared" si="38"/>
        <v>130</v>
      </c>
      <c r="F122" s="2">
        <v>220</v>
      </c>
      <c r="G122" s="2">
        <v>30</v>
      </c>
      <c r="H122" s="2"/>
      <c r="I122" s="2"/>
      <c r="J122" s="2">
        <f>1.2*J121</f>
        <v>216</v>
      </c>
      <c r="K122" s="2"/>
      <c r="L122" s="2">
        <v>100</v>
      </c>
      <c r="M122" s="2">
        <f>L122</f>
        <v>100</v>
      </c>
      <c r="N122" s="38"/>
      <c r="O122" s="5"/>
    </row>
    <row r="123" spans="1:15" ht="18.75" customHeight="1">
      <c r="A123" s="36"/>
      <c r="B123" s="31"/>
      <c r="C123" s="24" t="s">
        <v>15</v>
      </c>
      <c r="D123" s="1">
        <f t="shared" si="38"/>
        <v>589.20000000000005</v>
      </c>
      <c r="E123" s="1">
        <f t="shared" si="38"/>
        <v>140</v>
      </c>
      <c r="F123" s="2">
        <f>F122</f>
        <v>220</v>
      </c>
      <c r="G123" s="2">
        <v>30</v>
      </c>
      <c r="H123" s="2"/>
      <c r="I123" s="2"/>
      <c r="J123" s="2">
        <f>1.2*J122</f>
        <v>259.2</v>
      </c>
      <c r="K123" s="2"/>
      <c r="L123" s="2">
        <v>110</v>
      </c>
      <c r="M123" s="2">
        <f>L123</f>
        <v>110</v>
      </c>
      <c r="N123" s="38"/>
      <c r="O123" s="5"/>
    </row>
    <row r="124" spans="1:15" ht="18.75" customHeight="1">
      <c r="A124" s="36"/>
      <c r="B124" s="31"/>
      <c r="C124" s="24" t="s">
        <v>16</v>
      </c>
      <c r="D124" s="1">
        <f t="shared" si="38"/>
        <v>685.04</v>
      </c>
      <c r="E124" s="1">
        <f t="shared" si="38"/>
        <v>0</v>
      </c>
      <c r="F124" s="2">
        <f>1.2*F123</f>
        <v>264</v>
      </c>
      <c r="G124" s="2">
        <v>0</v>
      </c>
      <c r="H124" s="2"/>
      <c r="I124" s="2"/>
      <c r="J124" s="2">
        <f>1.2*J123</f>
        <v>311.03999999999996</v>
      </c>
      <c r="K124" s="2"/>
      <c r="L124" s="2">
        <v>110</v>
      </c>
      <c r="M124" s="2"/>
      <c r="N124" s="38"/>
      <c r="O124" s="5"/>
    </row>
    <row r="125" spans="1:15" ht="18.75" customHeight="1">
      <c r="A125" s="36"/>
      <c r="B125" s="31"/>
      <c r="C125" s="24" t="s">
        <v>17</v>
      </c>
      <c r="D125" s="1">
        <f t="shared" si="38"/>
        <v>800.048</v>
      </c>
      <c r="E125" s="1">
        <f t="shared" si="38"/>
        <v>0</v>
      </c>
      <c r="F125" s="2">
        <f>1.2*F124</f>
        <v>316.8</v>
      </c>
      <c r="G125" s="2">
        <v>0</v>
      </c>
      <c r="H125" s="2"/>
      <c r="I125" s="2"/>
      <c r="J125" s="2">
        <f>1.2*J124</f>
        <v>373.24799999999993</v>
      </c>
      <c r="K125" s="2"/>
      <c r="L125" s="2">
        <v>110</v>
      </c>
      <c r="M125" s="2"/>
      <c r="N125" s="38"/>
      <c r="O125" s="5"/>
    </row>
    <row r="126" spans="1:15" ht="18.75" customHeight="1">
      <c r="A126" s="36"/>
      <c r="B126" s="31"/>
      <c r="C126" s="24" t="s">
        <v>18</v>
      </c>
      <c r="D126" s="1">
        <f t="shared" si="38"/>
        <v>938.05759999999987</v>
      </c>
      <c r="E126" s="1">
        <f t="shared" si="38"/>
        <v>0</v>
      </c>
      <c r="F126" s="2">
        <f>1.2*F125</f>
        <v>380.16</v>
      </c>
      <c r="G126" s="2">
        <v>0</v>
      </c>
      <c r="H126" s="2"/>
      <c r="I126" s="2"/>
      <c r="J126" s="2">
        <f>1.2*J125</f>
        <v>447.8975999999999</v>
      </c>
      <c r="K126" s="2"/>
      <c r="L126" s="2">
        <v>110</v>
      </c>
      <c r="M126" s="2"/>
      <c r="N126" s="38"/>
      <c r="O126" s="5"/>
    </row>
    <row r="127" spans="1:15" s="4" customFormat="1" ht="21" customHeight="1">
      <c r="A127" s="36"/>
      <c r="B127" s="31" t="s">
        <v>52</v>
      </c>
      <c r="C127" s="24" t="s">
        <v>12</v>
      </c>
      <c r="D127" s="1">
        <f>SUM(D128:D133)</f>
        <v>6834</v>
      </c>
      <c r="E127" s="1">
        <f t="shared" ref="E127:M127" si="39">SUM(E128:E133)</f>
        <v>2325</v>
      </c>
      <c r="F127" s="2">
        <f t="shared" si="39"/>
        <v>3684</v>
      </c>
      <c r="G127" s="2">
        <f t="shared" si="39"/>
        <v>1200</v>
      </c>
      <c r="H127" s="2">
        <f t="shared" si="39"/>
        <v>0</v>
      </c>
      <c r="I127" s="2">
        <f t="shared" si="39"/>
        <v>0</v>
      </c>
      <c r="J127" s="2">
        <f t="shared" si="39"/>
        <v>1200</v>
      </c>
      <c r="K127" s="2">
        <f t="shared" si="39"/>
        <v>0</v>
      </c>
      <c r="L127" s="2">
        <f t="shared" si="39"/>
        <v>1950</v>
      </c>
      <c r="M127" s="2">
        <f t="shared" si="39"/>
        <v>1125</v>
      </c>
      <c r="N127" s="38"/>
      <c r="O127" s="3"/>
    </row>
    <row r="128" spans="1:15" ht="21" customHeight="1">
      <c r="A128" s="36"/>
      <c r="B128" s="31"/>
      <c r="C128" s="24" t="s">
        <v>13</v>
      </c>
      <c r="D128" s="1">
        <f t="shared" ref="D128:E133" si="40">F128+H128+J128+L128</f>
        <v>1300</v>
      </c>
      <c r="E128" s="1">
        <f t="shared" si="40"/>
        <v>600</v>
      </c>
      <c r="F128" s="2">
        <f>500+G128</f>
        <v>500</v>
      </c>
      <c r="G128" s="2">
        <v>0</v>
      </c>
      <c r="H128" s="2"/>
      <c r="I128" s="2"/>
      <c r="J128" s="2">
        <v>200</v>
      </c>
      <c r="K128" s="2">
        <v>0</v>
      </c>
      <c r="L128" s="2">
        <v>600</v>
      </c>
      <c r="M128" s="2">
        <f>L128</f>
        <v>600</v>
      </c>
      <c r="N128" s="38"/>
      <c r="O128" s="5"/>
    </row>
    <row r="129" spans="1:15" ht="21" customHeight="1">
      <c r="A129" s="36"/>
      <c r="B129" s="31"/>
      <c r="C129" s="24" t="s">
        <v>14</v>
      </c>
      <c r="D129" s="1">
        <f t="shared" si="40"/>
        <v>950</v>
      </c>
      <c r="E129" s="1">
        <f t="shared" si="40"/>
        <v>850</v>
      </c>
      <c r="F129" s="2">
        <f>F128</f>
        <v>500</v>
      </c>
      <c r="G129" s="2">
        <v>600</v>
      </c>
      <c r="H129" s="2"/>
      <c r="I129" s="2"/>
      <c r="J129" s="2">
        <v>200</v>
      </c>
      <c r="K129" s="2"/>
      <c r="L129" s="2">
        <v>250</v>
      </c>
      <c r="M129" s="2">
        <f>L129</f>
        <v>250</v>
      </c>
      <c r="N129" s="38"/>
      <c r="O129" s="5"/>
    </row>
    <row r="130" spans="1:15" ht="21" customHeight="1">
      <c r="A130" s="36"/>
      <c r="B130" s="31"/>
      <c r="C130" s="24" t="s">
        <v>15</v>
      </c>
      <c r="D130" s="1">
        <f t="shared" si="40"/>
        <v>975</v>
      </c>
      <c r="E130" s="1">
        <f t="shared" si="40"/>
        <v>875</v>
      </c>
      <c r="F130" s="2">
        <f>F129</f>
        <v>500</v>
      </c>
      <c r="G130" s="2">
        <v>600</v>
      </c>
      <c r="H130" s="2"/>
      <c r="I130" s="2"/>
      <c r="J130" s="2">
        <v>200</v>
      </c>
      <c r="K130" s="2"/>
      <c r="L130" s="2">
        <v>275</v>
      </c>
      <c r="M130" s="2">
        <f>L130</f>
        <v>275</v>
      </c>
      <c r="N130" s="38"/>
      <c r="O130" s="5"/>
    </row>
    <row r="131" spans="1:15" ht="21" customHeight="1">
      <c r="A131" s="36"/>
      <c r="B131" s="31"/>
      <c r="C131" s="24" t="s">
        <v>16</v>
      </c>
      <c r="D131" s="1">
        <f t="shared" si="40"/>
        <v>1075</v>
      </c>
      <c r="E131" s="1">
        <f t="shared" si="40"/>
        <v>0</v>
      </c>
      <c r="F131" s="2">
        <f>1.2*F130</f>
        <v>600</v>
      </c>
      <c r="G131" s="2">
        <v>0</v>
      </c>
      <c r="H131" s="2"/>
      <c r="I131" s="2"/>
      <c r="J131" s="2">
        <v>200</v>
      </c>
      <c r="K131" s="2"/>
      <c r="L131" s="2">
        <v>275</v>
      </c>
      <c r="M131" s="2"/>
      <c r="N131" s="38"/>
      <c r="O131" s="5"/>
    </row>
    <row r="132" spans="1:15" ht="21" customHeight="1">
      <c r="A132" s="36"/>
      <c r="B132" s="31"/>
      <c r="C132" s="24" t="s">
        <v>17</v>
      </c>
      <c r="D132" s="1">
        <f t="shared" si="40"/>
        <v>1195</v>
      </c>
      <c r="E132" s="1">
        <f t="shared" si="40"/>
        <v>0</v>
      </c>
      <c r="F132" s="2">
        <f>1.2*F131</f>
        <v>720</v>
      </c>
      <c r="G132" s="2">
        <v>0</v>
      </c>
      <c r="H132" s="2"/>
      <c r="I132" s="2"/>
      <c r="J132" s="2">
        <v>200</v>
      </c>
      <c r="K132" s="2"/>
      <c r="L132" s="2">
        <v>275</v>
      </c>
      <c r="M132" s="2"/>
      <c r="N132" s="38"/>
      <c r="O132" s="5"/>
    </row>
    <row r="133" spans="1:15" ht="21" customHeight="1">
      <c r="A133" s="36"/>
      <c r="B133" s="31"/>
      <c r="C133" s="24" t="s">
        <v>18</v>
      </c>
      <c r="D133" s="1">
        <f t="shared" si="40"/>
        <v>1339</v>
      </c>
      <c r="E133" s="1">
        <f t="shared" si="40"/>
        <v>0</v>
      </c>
      <c r="F133" s="2">
        <f>1.2*F132</f>
        <v>864</v>
      </c>
      <c r="G133" s="2">
        <v>0</v>
      </c>
      <c r="H133" s="2"/>
      <c r="I133" s="2"/>
      <c r="J133" s="2">
        <v>200</v>
      </c>
      <c r="K133" s="2"/>
      <c r="L133" s="2">
        <v>275</v>
      </c>
      <c r="M133" s="2"/>
      <c r="N133" s="38"/>
      <c r="O133" s="5"/>
    </row>
    <row r="134" spans="1:15" s="17" customFormat="1" ht="15.75" hidden="1" customHeight="1">
      <c r="A134" s="36"/>
      <c r="B134" s="31" t="s">
        <v>34</v>
      </c>
      <c r="C134" s="24" t="s">
        <v>12</v>
      </c>
      <c r="D134" s="1">
        <f>SUM(D135:D140)</f>
        <v>0</v>
      </c>
      <c r="E134" s="1">
        <f t="shared" ref="E134:K134" si="41">SUM(E135:E140)</f>
        <v>0</v>
      </c>
      <c r="F134" s="2">
        <f t="shared" si="41"/>
        <v>0</v>
      </c>
      <c r="G134" s="2">
        <f t="shared" si="41"/>
        <v>0</v>
      </c>
      <c r="H134" s="2">
        <f t="shared" si="41"/>
        <v>0</v>
      </c>
      <c r="I134" s="2">
        <f t="shared" si="41"/>
        <v>0</v>
      </c>
      <c r="J134" s="2">
        <f t="shared" si="41"/>
        <v>0</v>
      </c>
      <c r="K134" s="2">
        <f t="shared" si="41"/>
        <v>0</v>
      </c>
      <c r="L134" s="2">
        <f>SUM(L135:L140)</f>
        <v>0</v>
      </c>
      <c r="M134" s="2">
        <f>SUM(M135:M140)</f>
        <v>0</v>
      </c>
      <c r="N134" s="38"/>
      <c r="O134" s="3"/>
    </row>
    <row r="135" spans="1:15" s="21" customFormat="1" ht="15.75" hidden="1" customHeight="1">
      <c r="A135" s="36"/>
      <c r="B135" s="31"/>
      <c r="C135" s="24" t="s">
        <v>13</v>
      </c>
      <c r="D135" s="1">
        <f t="shared" ref="D135:E140" si="42">F135+H135+J135+L135</f>
        <v>0</v>
      </c>
      <c r="E135" s="1">
        <f t="shared" si="42"/>
        <v>0</v>
      </c>
      <c r="F135" s="2"/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f t="shared" ref="L135:L140" si="43">M135</f>
        <v>0</v>
      </c>
      <c r="M135" s="2">
        <v>0</v>
      </c>
      <c r="N135" s="38"/>
      <c r="O135" s="5"/>
    </row>
    <row r="136" spans="1:15" s="21" customFormat="1" ht="15.75" hidden="1" customHeight="1">
      <c r="A136" s="36"/>
      <c r="B136" s="31"/>
      <c r="C136" s="24" t="s">
        <v>14</v>
      </c>
      <c r="D136" s="1">
        <f t="shared" si="42"/>
        <v>0</v>
      </c>
      <c r="E136" s="1">
        <f t="shared" si="42"/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f t="shared" si="43"/>
        <v>0</v>
      </c>
      <c r="M136" s="2">
        <v>0</v>
      </c>
      <c r="N136" s="38"/>
      <c r="O136" s="5"/>
    </row>
    <row r="137" spans="1:15" s="21" customFormat="1" ht="15.75" hidden="1" customHeight="1">
      <c r="A137" s="36"/>
      <c r="B137" s="31"/>
      <c r="C137" s="24" t="s">
        <v>15</v>
      </c>
      <c r="D137" s="1">
        <f t="shared" si="42"/>
        <v>0</v>
      </c>
      <c r="E137" s="1">
        <f t="shared" si="42"/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f t="shared" si="43"/>
        <v>0</v>
      </c>
      <c r="M137" s="2">
        <v>0</v>
      </c>
      <c r="N137" s="38"/>
      <c r="O137" s="5"/>
    </row>
    <row r="138" spans="1:15" s="21" customFormat="1" ht="15.75" hidden="1" customHeight="1">
      <c r="A138" s="36"/>
      <c r="B138" s="31"/>
      <c r="C138" s="24" t="s">
        <v>16</v>
      </c>
      <c r="D138" s="1">
        <f t="shared" si="42"/>
        <v>0</v>
      </c>
      <c r="E138" s="1">
        <f t="shared" si="42"/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f t="shared" si="43"/>
        <v>0</v>
      </c>
      <c r="M138" s="2">
        <v>0</v>
      </c>
      <c r="N138" s="38"/>
      <c r="O138" s="5"/>
    </row>
    <row r="139" spans="1:15" s="21" customFormat="1" ht="15.75" hidden="1" customHeight="1">
      <c r="A139" s="36"/>
      <c r="B139" s="31"/>
      <c r="C139" s="24" t="s">
        <v>17</v>
      </c>
      <c r="D139" s="1">
        <f t="shared" si="42"/>
        <v>0</v>
      </c>
      <c r="E139" s="1">
        <f t="shared" si="42"/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f t="shared" si="43"/>
        <v>0</v>
      </c>
      <c r="M139" s="2">
        <v>0</v>
      </c>
      <c r="N139" s="38"/>
      <c r="O139" s="5"/>
    </row>
    <row r="140" spans="1:15" s="21" customFormat="1" ht="15.75" hidden="1" customHeight="1">
      <c r="A140" s="36"/>
      <c r="B140" s="31"/>
      <c r="C140" s="24" t="s">
        <v>18</v>
      </c>
      <c r="D140" s="1">
        <f t="shared" si="42"/>
        <v>0</v>
      </c>
      <c r="E140" s="1">
        <f t="shared" si="42"/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f t="shared" si="43"/>
        <v>0</v>
      </c>
      <c r="M140" s="2">
        <v>0</v>
      </c>
      <c r="N140" s="38"/>
      <c r="O140" s="5"/>
    </row>
    <row r="141" spans="1:15" s="4" customFormat="1" ht="15.75" customHeight="1">
      <c r="A141" s="36"/>
      <c r="B141" s="34" t="s">
        <v>45</v>
      </c>
      <c r="C141" s="24" t="s">
        <v>12</v>
      </c>
      <c r="D141" s="1">
        <f>SUM(D142:D147)</f>
        <v>725</v>
      </c>
      <c r="E141" s="1">
        <f t="shared" ref="E141:K141" si="44">SUM(E142:E147)</f>
        <v>301</v>
      </c>
      <c r="F141" s="1">
        <f t="shared" si="44"/>
        <v>636</v>
      </c>
      <c r="G141" s="1">
        <f t="shared" si="44"/>
        <v>212</v>
      </c>
      <c r="H141" s="2">
        <f t="shared" si="44"/>
        <v>0</v>
      </c>
      <c r="I141" s="2">
        <f t="shared" si="44"/>
        <v>0</v>
      </c>
      <c r="J141" s="2">
        <f t="shared" si="44"/>
        <v>0</v>
      </c>
      <c r="K141" s="2">
        <f t="shared" si="44"/>
        <v>0</v>
      </c>
      <c r="L141" s="2">
        <f>SUM(L142:L147)</f>
        <v>89</v>
      </c>
      <c r="M141" s="2">
        <f>SUM(M142:M147)</f>
        <v>89</v>
      </c>
      <c r="N141" s="38"/>
      <c r="O141" s="3"/>
    </row>
    <row r="142" spans="1:15">
      <c r="A142" s="36"/>
      <c r="B142" s="34"/>
      <c r="C142" s="24" t="s">
        <v>13</v>
      </c>
      <c r="D142" s="1">
        <f t="shared" ref="D142:E147" si="45">F142+H142+J142+L142</f>
        <v>195</v>
      </c>
      <c r="E142" s="1">
        <f t="shared" si="45"/>
        <v>89</v>
      </c>
      <c r="F142" s="2">
        <v>106</v>
      </c>
      <c r="G142" s="2">
        <f>106-106</f>
        <v>0</v>
      </c>
      <c r="H142" s="2"/>
      <c r="I142" s="2"/>
      <c r="J142" s="2">
        <v>0</v>
      </c>
      <c r="K142" s="2"/>
      <c r="L142" s="2">
        <v>89</v>
      </c>
      <c r="M142" s="2">
        <f>L142</f>
        <v>89</v>
      </c>
      <c r="N142" s="38"/>
      <c r="O142" s="5"/>
    </row>
    <row r="143" spans="1:15">
      <c r="A143" s="36"/>
      <c r="B143" s="34"/>
      <c r="C143" s="24" t="s">
        <v>14</v>
      </c>
      <c r="D143" s="1">
        <f t="shared" si="45"/>
        <v>106</v>
      </c>
      <c r="E143" s="1">
        <f t="shared" si="45"/>
        <v>106</v>
      </c>
      <c r="F143" s="2">
        <v>106</v>
      </c>
      <c r="G143" s="2">
        <v>106</v>
      </c>
      <c r="H143" s="2"/>
      <c r="I143" s="2"/>
      <c r="J143" s="2">
        <v>0</v>
      </c>
      <c r="K143" s="2"/>
      <c r="L143" s="2">
        <v>0</v>
      </c>
      <c r="M143" s="2">
        <v>0</v>
      </c>
      <c r="N143" s="38"/>
      <c r="O143" s="5"/>
    </row>
    <row r="144" spans="1:15">
      <c r="A144" s="36"/>
      <c r="B144" s="34"/>
      <c r="C144" s="24" t="s">
        <v>15</v>
      </c>
      <c r="D144" s="1">
        <f t="shared" si="45"/>
        <v>106</v>
      </c>
      <c r="E144" s="1">
        <f t="shared" si="45"/>
        <v>106</v>
      </c>
      <c r="F144" s="2">
        <v>106</v>
      </c>
      <c r="G144" s="2">
        <v>106</v>
      </c>
      <c r="H144" s="2"/>
      <c r="I144" s="2"/>
      <c r="J144" s="2">
        <v>0</v>
      </c>
      <c r="K144" s="2"/>
      <c r="L144" s="2">
        <v>0</v>
      </c>
      <c r="M144" s="2">
        <v>0</v>
      </c>
      <c r="N144" s="38"/>
      <c r="O144" s="5"/>
    </row>
    <row r="145" spans="1:16">
      <c r="A145" s="36"/>
      <c r="B145" s="34"/>
      <c r="C145" s="24" t="s">
        <v>16</v>
      </c>
      <c r="D145" s="1">
        <f t="shared" si="45"/>
        <v>106</v>
      </c>
      <c r="E145" s="1">
        <f t="shared" si="45"/>
        <v>0</v>
      </c>
      <c r="F145" s="2">
        <v>106</v>
      </c>
      <c r="G145" s="2"/>
      <c r="H145" s="2"/>
      <c r="I145" s="2"/>
      <c r="J145" s="2">
        <v>0</v>
      </c>
      <c r="K145" s="2"/>
      <c r="L145" s="2">
        <v>0</v>
      </c>
      <c r="M145" s="2">
        <v>0</v>
      </c>
      <c r="N145" s="38"/>
      <c r="O145" s="5"/>
    </row>
    <row r="146" spans="1:16">
      <c r="A146" s="36"/>
      <c r="B146" s="34"/>
      <c r="C146" s="24" t="s">
        <v>17</v>
      </c>
      <c r="D146" s="1">
        <f t="shared" si="45"/>
        <v>106</v>
      </c>
      <c r="E146" s="1">
        <f t="shared" si="45"/>
        <v>0</v>
      </c>
      <c r="F146" s="2">
        <v>106</v>
      </c>
      <c r="G146" s="2"/>
      <c r="H146" s="2"/>
      <c r="I146" s="2"/>
      <c r="J146" s="2">
        <v>0</v>
      </c>
      <c r="K146" s="2"/>
      <c r="L146" s="2">
        <v>0</v>
      </c>
      <c r="M146" s="2">
        <v>0</v>
      </c>
      <c r="N146" s="38"/>
      <c r="O146" s="5"/>
    </row>
    <row r="147" spans="1:16">
      <c r="A147" s="43"/>
      <c r="B147" s="34"/>
      <c r="C147" s="24" t="s">
        <v>18</v>
      </c>
      <c r="D147" s="1">
        <f t="shared" si="45"/>
        <v>106</v>
      </c>
      <c r="E147" s="1">
        <f t="shared" si="45"/>
        <v>0</v>
      </c>
      <c r="F147" s="2">
        <v>106</v>
      </c>
      <c r="G147" s="2"/>
      <c r="H147" s="2"/>
      <c r="I147" s="2"/>
      <c r="J147" s="2">
        <v>0</v>
      </c>
      <c r="K147" s="2"/>
      <c r="L147" s="2">
        <v>0</v>
      </c>
      <c r="M147" s="2">
        <v>0</v>
      </c>
      <c r="N147" s="39"/>
      <c r="O147" s="5"/>
    </row>
    <row r="148" spans="1:16" s="16" customFormat="1">
      <c r="A148" s="60" t="s">
        <v>22</v>
      </c>
      <c r="B148" s="27" t="s">
        <v>59</v>
      </c>
      <c r="C148" s="25" t="s">
        <v>12</v>
      </c>
      <c r="D148" s="1">
        <f>SUM(D149:D154)</f>
        <v>1121306.2569199998</v>
      </c>
      <c r="E148" s="1">
        <f t="shared" ref="E148:M148" si="46">SUM(E149:E154)</f>
        <v>373502.54</v>
      </c>
      <c r="F148" s="1">
        <f t="shared" si="46"/>
        <v>670414.6675199999</v>
      </c>
      <c r="G148" s="1">
        <f t="shared" si="46"/>
        <v>233536.24000000002</v>
      </c>
      <c r="H148" s="1">
        <f t="shared" si="46"/>
        <v>1892.9919999999997</v>
      </c>
      <c r="I148" s="1">
        <f t="shared" si="46"/>
        <v>0</v>
      </c>
      <c r="J148" s="1">
        <f t="shared" si="46"/>
        <v>399760.39739999996</v>
      </c>
      <c r="K148" s="1">
        <f t="shared" si="46"/>
        <v>108218.1</v>
      </c>
      <c r="L148" s="1">
        <f t="shared" si="46"/>
        <v>49238.2</v>
      </c>
      <c r="M148" s="1">
        <f t="shared" si="46"/>
        <v>31748.2</v>
      </c>
      <c r="N148" s="37" t="s">
        <v>46</v>
      </c>
      <c r="O148" s="5"/>
    </row>
    <row r="149" spans="1:16" s="16" customFormat="1" ht="15.75" customHeight="1">
      <c r="A149" s="61"/>
      <c r="B149" s="47" t="s">
        <v>23</v>
      </c>
      <c r="C149" s="25" t="s">
        <v>13</v>
      </c>
      <c r="D149" s="1">
        <f t="shared" ref="D149:E154" si="47">F149+H149+J149+L149</f>
        <v>129321.43999999999</v>
      </c>
      <c r="E149" s="1">
        <f t="shared" si="47"/>
        <v>115482.74</v>
      </c>
      <c r="F149" s="1">
        <f t="shared" ref="F149:K149" si="48">F156+F163+F170+F177+F184+F191+F198++F205+F212+F219+F226</f>
        <v>90603.739999999991</v>
      </c>
      <c r="G149" s="1">
        <f t="shared" si="48"/>
        <v>77665.039999999994</v>
      </c>
      <c r="H149" s="1">
        <f t="shared" si="48"/>
        <v>200</v>
      </c>
      <c r="I149" s="1">
        <f t="shared" si="48"/>
        <v>0</v>
      </c>
      <c r="J149" s="1">
        <f t="shared" si="48"/>
        <v>18264.500000000007</v>
      </c>
      <c r="K149" s="1">
        <f t="shared" si="48"/>
        <v>17564.500000000007</v>
      </c>
      <c r="L149" s="1">
        <f t="shared" ref="L149:L154" si="49">L156+L163+L170+L177+L184+L191+L198+L205+L212+L219+L226</f>
        <v>20253.2</v>
      </c>
      <c r="M149" s="1">
        <f t="shared" ref="M149:M154" si="50">M156+M163+M170+M177+M184+M191+M198++M205+M212+M219+M226</f>
        <v>20253.2</v>
      </c>
      <c r="N149" s="38"/>
      <c r="O149" s="5"/>
    </row>
    <row r="150" spans="1:16" s="16" customFormat="1">
      <c r="A150" s="61"/>
      <c r="B150" s="47"/>
      <c r="C150" s="25" t="s">
        <v>14</v>
      </c>
      <c r="D150" s="1">
        <f t="shared" si="47"/>
        <v>133078.13999999998</v>
      </c>
      <c r="E150" s="1">
        <f t="shared" si="47"/>
        <v>119370</v>
      </c>
      <c r="F150" s="1">
        <f t="shared" ref="F150:K154" si="51">F157+F164+F171+F178+F185+F192+F199++F206+F213+F220+F227</f>
        <v>90603.739999999991</v>
      </c>
      <c r="G150" s="1">
        <f t="shared" si="51"/>
        <v>77935.600000000006</v>
      </c>
      <c r="H150" s="1">
        <f t="shared" si="51"/>
        <v>220</v>
      </c>
      <c r="I150" s="1">
        <f t="shared" si="51"/>
        <v>0</v>
      </c>
      <c r="J150" s="1">
        <f t="shared" si="51"/>
        <v>36589.4</v>
      </c>
      <c r="K150" s="1">
        <f t="shared" si="51"/>
        <v>35769.4</v>
      </c>
      <c r="L150" s="1">
        <f t="shared" si="49"/>
        <v>5665</v>
      </c>
      <c r="M150" s="1">
        <f t="shared" si="50"/>
        <v>5665</v>
      </c>
      <c r="N150" s="38"/>
      <c r="O150" s="5"/>
      <c r="P150" s="15"/>
    </row>
    <row r="151" spans="1:16" s="16" customFormat="1">
      <c r="A151" s="61"/>
      <c r="B151" s="47"/>
      <c r="C151" s="25" t="s">
        <v>15</v>
      </c>
      <c r="D151" s="1">
        <f t="shared" si="47"/>
        <v>152525.94</v>
      </c>
      <c r="E151" s="1">
        <f t="shared" si="47"/>
        <v>138649.79999999999</v>
      </c>
      <c r="F151" s="1">
        <f t="shared" si="51"/>
        <v>90603.739999999991</v>
      </c>
      <c r="G151" s="1">
        <f t="shared" si="51"/>
        <v>77935.600000000006</v>
      </c>
      <c r="H151" s="1">
        <f t="shared" si="51"/>
        <v>244</v>
      </c>
      <c r="I151" s="1">
        <f t="shared" si="51"/>
        <v>0</v>
      </c>
      <c r="J151" s="1">
        <f t="shared" si="51"/>
        <v>55848.2</v>
      </c>
      <c r="K151" s="1">
        <f t="shared" si="51"/>
        <v>54884.2</v>
      </c>
      <c r="L151" s="1">
        <f t="shared" si="49"/>
        <v>5830</v>
      </c>
      <c r="M151" s="1">
        <f t="shared" si="50"/>
        <v>5830</v>
      </c>
      <c r="N151" s="38"/>
      <c r="O151" s="5"/>
      <c r="P151" s="15"/>
    </row>
    <row r="152" spans="1:16" s="16" customFormat="1">
      <c r="A152" s="61"/>
      <c r="B152" s="47"/>
      <c r="C152" s="25" t="s">
        <v>16</v>
      </c>
      <c r="D152" s="1">
        <f t="shared" si="47"/>
        <v>188250.72799999997</v>
      </c>
      <c r="E152" s="1">
        <f t="shared" si="47"/>
        <v>0</v>
      </c>
      <c r="F152" s="1">
        <f t="shared" si="51"/>
        <v>109561.66799999998</v>
      </c>
      <c r="G152" s="1">
        <f t="shared" si="51"/>
        <v>0</v>
      </c>
      <c r="H152" s="1">
        <f t="shared" si="51"/>
        <v>322.79999999999995</v>
      </c>
      <c r="I152" s="1">
        <f t="shared" si="51"/>
        <v>0</v>
      </c>
      <c r="J152" s="1">
        <f t="shared" si="51"/>
        <v>72536.259999999995</v>
      </c>
      <c r="K152" s="1">
        <f t="shared" si="51"/>
        <v>0</v>
      </c>
      <c r="L152" s="1">
        <f t="shared" si="49"/>
        <v>5830</v>
      </c>
      <c r="M152" s="1">
        <f t="shared" si="50"/>
        <v>0</v>
      </c>
      <c r="N152" s="38"/>
      <c r="O152" s="5"/>
    </row>
    <row r="153" spans="1:16" s="16" customFormat="1">
      <c r="A153" s="61"/>
      <c r="B153" s="47"/>
      <c r="C153" s="25" t="s">
        <v>17</v>
      </c>
      <c r="D153" s="1">
        <f t="shared" si="47"/>
        <v>231746.99959999998</v>
      </c>
      <c r="E153" s="1">
        <f t="shared" si="47"/>
        <v>0</v>
      </c>
      <c r="F153" s="1">
        <f t="shared" si="51"/>
        <v>131411.18159999998</v>
      </c>
      <c r="G153" s="1">
        <f t="shared" si="51"/>
        <v>0</v>
      </c>
      <c r="H153" s="1">
        <f t="shared" si="51"/>
        <v>357.36</v>
      </c>
      <c r="I153" s="1">
        <f t="shared" si="51"/>
        <v>0</v>
      </c>
      <c r="J153" s="1">
        <f t="shared" si="51"/>
        <v>94148.457999999999</v>
      </c>
      <c r="K153" s="1">
        <f t="shared" si="51"/>
        <v>0</v>
      </c>
      <c r="L153" s="1">
        <f t="shared" si="49"/>
        <v>5830</v>
      </c>
      <c r="M153" s="1">
        <f t="shared" si="50"/>
        <v>0</v>
      </c>
      <c r="N153" s="38"/>
      <c r="O153" s="5"/>
    </row>
    <row r="154" spans="1:16" s="16" customFormat="1">
      <c r="A154" s="61"/>
      <c r="B154" s="47"/>
      <c r="C154" s="25" t="s">
        <v>18</v>
      </c>
      <c r="D154" s="1">
        <f t="shared" si="47"/>
        <v>286383.00931999995</v>
      </c>
      <c r="E154" s="1">
        <f t="shared" si="47"/>
        <v>0</v>
      </c>
      <c r="F154" s="1">
        <f t="shared" si="51"/>
        <v>157630.59791999997</v>
      </c>
      <c r="G154" s="1">
        <f t="shared" si="51"/>
        <v>0</v>
      </c>
      <c r="H154" s="1">
        <f t="shared" si="51"/>
        <v>548.83199999999999</v>
      </c>
      <c r="I154" s="1">
        <f t="shared" si="51"/>
        <v>0</v>
      </c>
      <c r="J154" s="1">
        <f t="shared" si="51"/>
        <v>122373.5794</v>
      </c>
      <c r="K154" s="1">
        <f t="shared" si="51"/>
        <v>0</v>
      </c>
      <c r="L154" s="1">
        <f t="shared" si="49"/>
        <v>5830</v>
      </c>
      <c r="M154" s="1">
        <f t="shared" si="50"/>
        <v>0</v>
      </c>
      <c r="N154" s="38"/>
      <c r="O154" s="5"/>
    </row>
    <row r="155" spans="1:16" s="4" customFormat="1" ht="15.75" customHeight="1">
      <c r="A155" s="61"/>
      <c r="B155" s="32" t="s">
        <v>35</v>
      </c>
      <c r="C155" s="24" t="s">
        <v>12</v>
      </c>
      <c r="D155" s="1">
        <f>SUM(D156:D161)</f>
        <v>1007483.5641199998</v>
      </c>
      <c r="E155" s="1">
        <f t="shared" ref="E155:K155" si="52">SUM(E156:E161)</f>
        <v>360483.93999999994</v>
      </c>
      <c r="F155" s="2">
        <f t="shared" si="52"/>
        <v>568021.51871999982</v>
      </c>
      <c r="G155" s="2">
        <f t="shared" si="52"/>
        <v>221736.23999999996</v>
      </c>
      <c r="H155" s="2">
        <f t="shared" si="52"/>
        <v>0</v>
      </c>
      <c r="I155" s="2">
        <f t="shared" si="52"/>
        <v>0</v>
      </c>
      <c r="J155" s="2">
        <f t="shared" si="52"/>
        <v>392902.44540000003</v>
      </c>
      <c r="K155" s="2">
        <f t="shared" si="52"/>
        <v>108218.1</v>
      </c>
      <c r="L155" s="2">
        <f>SUM(L156:L161)</f>
        <v>46559.600000000006</v>
      </c>
      <c r="M155" s="2">
        <f>SUM(M156:M161)</f>
        <v>30529.600000000002</v>
      </c>
      <c r="N155" s="38"/>
      <c r="O155" s="3"/>
    </row>
    <row r="156" spans="1:16">
      <c r="A156" s="61"/>
      <c r="B156" s="32"/>
      <c r="C156" s="24" t="s">
        <v>13</v>
      </c>
      <c r="D156" s="1">
        <f t="shared" ref="D156:E161" si="53">F156+H156+J156+L156</f>
        <v>114532.13999999998</v>
      </c>
      <c r="E156" s="1">
        <f t="shared" si="53"/>
        <v>111157.54000000001</v>
      </c>
      <c r="F156" s="2">
        <f>8503.5+G156-559.8-4514.1-10-45</f>
        <v>77093.039999999979</v>
      </c>
      <c r="G156" s="2">
        <f>71752-900+2367.7+559.8+800-250+40+1080+100+60+10+30+10+30+25+30+45+136-1500+430-60+73.4+200+600+787.9-300-1663.86-609.5-225.5-300+0.5+360</f>
        <v>73718.439999999988</v>
      </c>
      <c r="H156" s="2">
        <v>0</v>
      </c>
      <c r="I156" s="2">
        <v>0</v>
      </c>
      <c r="J156" s="2">
        <f>K156</f>
        <v>17564.500000000007</v>
      </c>
      <c r="K156" s="2">
        <f>14439.6+11040.8-4349.1-817.8-2046.8+50-778.6+26.4</f>
        <v>17564.500000000007</v>
      </c>
      <c r="L156" s="2">
        <f>20253.2-L170-L177-L198-L205-L212-L219-L226</f>
        <v>19874.600000000002</v>
      </c>
      <c r="M156" s="2">
        <f>20253.2-M170-M177-M198-M205-M212-M219-M226</f>
        <v>19874.600000000002</v>
      </c>
      <c r="N156" s="38"/>
      <c r="O156" s="5"/>
    </row>
    <row r="157" spans="1:16">
      <c r="A157" s="61"/>
      <c r="B157" s="32"/>
      <c r="C157" s="24" t="s">
        <v>14</v>
      </c>
      <c r="D157" s="1">
        <f t="shared" si="53"/>
        <v>118137.43999999997</v>
      </c>
      <c r="E157" s="1">
        <f t="shared" si="53"/>
        <v>115053.29999999999</v>
      </c>
      <c r="F157" s="2">
        <f>F156</f>
        <v>77093.039999999979</v>
      </c>
      <c r="G157" s="2">
        <f>71752-900+3156.9</f>
        <v>74008.899999999994</v>
      </c>
      <c r="H157" s="2">
        <v>0</v>
      </c>
      <c r="I157" s="2">
        <v>0</v>
      </c>
      <c r="J157" s="2">
        <f>K157</f>
        <v>35769.4</v>
      </c>
      <c r="K157" s="2">
        <f>20883.4+14886</f>
        <v>35769.4</v>
      </c>
      <c r="L157" s="2">
        <f>5665-L171-L178-L199-L206-L213-L220</f>
        <v>5275</v>
      </c>
      <c r="M157" s="2">
        <f>L157</f>
        <v>5275</v>
      </c>
      <c r="N157" s="38"/>
      <c r="O157" s="5"/>
    </row>
    <row r="158" spans="1:16">
      <c r="A158" s="61"/>
      <c r="B158" s="32"/>
      <c r="C158" s="24" t="s">
        <v>15</v>
      </c>
      <c r="D158" s="1">
        <f t="shared" si="53"/>
        <v>137357.24</v>
      </c>
      <c r="E158" s="1">
        <f t="shared" si="53"/>
        <v>134273.09999999998</v>
      </c>
      <c r="F158" s="2">
        <f>F157</f>
        <v>77093.039999999979</v>
      </c>
      <c r="G158" s="2">
        <f>71752-900+3156.9</f>
        <v>74008.899999999994</v>
      </c>
      <c r="H158" s="2">
        <v>0</v>
      </c>
      <c r="I158" s="2">
        <v>0</v>
      </c>
      <c r="J158" s="2">
        <f>K158</f>
        <v>54884.2</v>
      </c>
      <c r="K158" s="2">
        <f>54884.2</f>
        <v>54884.2</v>
      </c>
      <c r="L158" s="2">
        <f>5830-L172-L179-L200-L207-L214-L221</f>
        <v>5380</v>
      </c>
      <c r="M158" s="2">
        <f>L158</f>
        <v>5380</v>
      </c>
      <c r="N158" s="38"/>
      <c r="O158" s="5"/>
    </row>
    <row r="159" spans="1:16">
      <c r="A159" s="61"/>
      <c r="B159" s="32"/>
      <c r="C159" s="24" t="s">
        <v>16</v>
      </c>
      <c r="D159" s="1">
        <f t="shared" si="53"/>
        <v>169211.10799999995</v>
      </c>
      <c r="E159" s="1">
        <f t="shared" si="53"/>
        <v>0</v>
      </c>
      <c r="F159" s="2">
        <f>1.2*F158</f>
        <v>92511.647999999972</v>
      </c>
      <c r="G159" s="2">
        <v>0</v>
      </c>
      <c r="H159" s="2">
        <v>0</v>
      </c>
      <c r="I159" s="2">
        <v>0</v>
      </c>
      <c r="J159" s="2">
        <f>1.3*J158</f>
        <v>71349.459999999992</v>
      </c>
      <c r="K159" s="2">
        <v>0</v>
      </c>
      <c r="L159" s="2">
        <f>5830-L173-L180-L201-L208-L215-L222</f>
        <v>5350</v>
      </c>
      <c r="M159" s="2"/>
      <c r="N159" s="38"/>
      <c r="O159" s="5"/>
    </row>
    <row r="160" spans="1:16">
      <c r="A160" s="61"/>
      <c r="B160" s="32"/>
      <c r="C160" s="24" t="s">
        <v>17</v>
      </c>
      <c r="D160" s="1">
        <f t="shared" si="53"/>
        <v>209108.27559999996</v>
      </c>
      <c r="E160" s="1">
        <f t="shared" si="53"/>
        <v>0</v>
      </c>
      <c r="F160" s="2">
        <f>1.2*F159</f>
        <v>111013.97759999997</v>
      </c>
      <c r="G160" s="2">
        <v>0</v>
      </c>
      <c r="H160" s="2">
        <v>0</v>
      </c>
      <c r="I160" s="2">
        <v>0</v>
      </c>
      <c r="J160" s="2">
        <f>1.3*J159</f>
        <v>92754.297999999995</v>
      </c>
      <c r="K160" s="2">
        <v>0</v>
      </c>
      <c r="L160" s="2">
        <f>5830-L174-L181-L202-L209-L216-L223</f>
        <v>5340</v>
      </c>
      <c r="M160" s="2"/>
      <c r="N160" s="38"/>
      <c r="O160" s="5"/>
    </row>
    <row r="161" spans="1:15">
      <c r="A161" s="61"/>
      <c r="B161" s="33"/>
      <c r="C161" s="24" t="s">
        <v>18</v>
      </c>
      <c r="D161" s="1">
        <f t="shared" si="53"/>
        <v>259137.36051999999</v>
      </c>
      <c r="E161" s="1">
        <f t="shared" si="53"/>
        <v>0</v>
      </c>
      <c r="F161" s="2">
        <f>1.2*F160</f>
        <v>133216.77311999997</v>
      </c>
      <c r="G161" s="2">
        <v>0</v>
      </c>
      <c r="H161" s="2">
        <v>0</v>
      </c>
      <c r="I161" s="2">
        <v>0</v>
      </c>
      <c r="J161" s="2">
        <f>1.3*J160</f>
        <v>120580.5874</v>
      </c>
      <c r="K161" s="2">
        <v>0</v>
      </c>
      <c r="L161" s="2">
        <f>5830-L175-L182-L203-L210-L217-L224</f>
        <v>5340</v>
      </c>
      <c r="M161" s="2"/>
      <c r="N161" s="38"/>
      <c r="O161" s="5"/>
    </row>
    <row r="162" spans="1:15" s="4" customFormat="1" ht="15.75" customHeight="1">
      <c r="A162" s="61"/>
      <c r="B162" s="31" t="s">
        <v>36</v>
      </c>
      <c r="C162" s="24" t="s">
        <v>12</v>
      </c>
      <c r="D162" s="1">
        <f>SUM(D163:D168)</f>
        <v>11247.988799999999</v>
      </c>
      <c r="E162" s="1">
        <f t="shared" ref="E162:K162" si="54">SUM(E163:E168)</f>
        <v>3351.7999999999997</v>
      </c>
      <c r="F162" s="2">
        <f t="shared" si="54"/>
        <v>11247.988799999999</v>
      </c>
      <c r="G162" s="2">
        <f t="shared" si="54"/>
        <v>3351.7999999999997</v>
      </c>
      <c r="H162" s="2">
        <f t="shared" si="54"/>
        <v>0</v>
      </c>
      <c r="I162" s="2">
        <f t="shared" si="54"/>
        <v>0</v>
      </c>
      <c r="J162" s="2">
        <f t="shared" si="54"/>
        <v>0</v>
      </c>
      <c r="K162" s="2">
        <f t="shared" si="54"/>
        <v>0</v>
      </c>
      <c r="L162" s="2">
        <f>SUM(L163:L168)</f>
        <v>0</v>
      </c>
      <c r="M162" s="2">
        <f>SUM(M163:M168)</f>
        <v>0</v>
      </c>
      <c r="N162" s="38"/>
      <c r="O162" s="3"/>
    </row>
    <row r="163" spans="1:15">
      <c r="A163" s="61"/>
      <c r="B163" s="31"/>
      <c r="C163" s="24" t="s">
        <v>13</v>
      </c>
      <c r="D163" s="1">
        <f t="shared" ref="D163:E168" si="55">F163+H163+J163+L163</f>
        <v>1526.6</v>
      </c>
      <c r="E163" s="1">
        <f t="shared" si="55"/>
        <v>926.5999999999998</v>
      </c>
      <c r="F163" s="2">
        <f>600+G163</f>
        <v>1526.6</v>
      </c>
      <c r="G163" s="2">
        <f>1212.6-73.4-160.5-52.1</f>
        <v>926.5999999999998</v>
      </c>
      <c r="H163" s="2">
        <v>0</v>
      </c>
      <c r="I163" s="2">
        <v>0</v>
      </c>
      <c r="J163" s="2">
        <v>0</v>
      </c>
      <c r="K163" s="2">
        <v>0</v>
      </c>
      <c r="L163" s="2">
        <f>M163</f>
        <v>0</v>
      </c>
      <c r="M163" s="2">
        <v>0</v>
      </c>
      <c r="N163" s="38"/>
      <c r="O163" s="5"/>
    </row>
    <row r="164" spans="1:15">
      <c r="A164" s="61"/>
      <c r="B164" s="31"/>
      <c r="C164" s="24" t="s">
        <v>14</v>
      </c>
      <c r="D164" s="1">
        <f t="shared" si="55"/>
        <v>1526.6</v>
      </c>
      <c r="E164" s="1">
        <f t="shared" si="55"/>
        <v>1212.5999999999999</v>
      </c>
      <c r="F164" s="2">
        <f>F163</f>
        <v>1526.6</v>
      </c>
      <c r="G164" s="2">
        <v>1212.5999999999999</v>
      </c>
      <c r="H164" s="2">
        <v>0</v>
      </c>
      <c r="I164" s="2">
        <v>0</v>
      </c>
      <c r="J164" s="2">
        <v>0</v>
      </c>
      <c r="K164" s="2">
        <v>0</v>
      </c>
      <c r="L164" s="2">
        <f>M164</f>
        <v>0</v>
      </c>
      <c r="M164" s="2">
        <v>0</v>
      </c>
      <c r="N164" s="38"/>
      <c r="O164" s="5"/>
    </row>
    <row r="165" spans="1:15">
      <c r="A165" s="61"/>
      <c r="B165" s="31"/>
      <c r="C165" s="24" t="s">
        <v>15</v>
      </c>
      <c r="D165" s="1">
        <f t="shared" si="55"/>
        <v>1526.6</v>
      </c>
      <c r="E165" s="1">
        <f t="shared" si="55"/>
        <v>1212.5999999999999</v>
      </c>
      <c r="F165" s="2">
        <f>F164</f>
        <v>1526.6</v>
      </c>
      <c r="G165" s="2">
        <v>1212.5999999999999</v>
      </c>
      <c r="H165" s="2">
        <v>0</v>
      </c>
      <c r="I165" s="2">
        <v>0</v>
      </c>
      <c r="J165" s="2">
        <v>0</v>
      </c>
      <c r="K165" s="2">
        <v>0</v>
      </c>
      <c r="L165" s="2">
        <f>1.1*L164</f>
        <v>0</v>
      </c>
      <c r="M165" s="2"/>
      <c r="N165" s="38"/>
      <c r="O165" s="5"/>
    </row>
    <row r="166" spans="1:15">
      <c r="A166" s="61"/>
      <c r="B166" s="31"/>
      <c r="C166" s="24" t="s">
        <v>16</v>
      </c>
      <c r="D166" s="1">
        <f t="shared" si="55"/>
        <v>1831.9199999999998</v>
      </c>
      <c r="E166" s="1">
        <f t="shared" si="55"/>
        <v>0</v>
      </c>
      <c r="F166" s="2">
        <f>1.2*F165</f>
        <v>1831.9199999999998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f>1.1*L165</f>
        <v>0</v>
      </c>
      <c r="M166" s="2"/>
      <c r="N166" s="38"/>
      <c r="O166" s="5"/>
    </row>
    <row r="167" spans="1:15">
      <c r="A167" s="61"/>
      <c r="B167" s="31"/>
      <c r="C167" s="24" t="s">
        <v>17</v>
      </c>
      <c r="D167" s="1">
        <f t="shared" si="55"/>
        <v>2198.3039999999996</v>
      </c>
      <c r="E167" s="1">
        <f t="shared" si="55"/>
        <v>0</v>
      </c>
      <c r="F167" s="2">
        <f>1.2*F166</f>
        <v>2198.3039999999996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f>1.1*L166</f>
        <v>0</v>
      </c>
      <c r="M167" s="2"/>
      <c r="N167" s="38"/>
      <c r="O167" s="5"/>
    </row>
    <row r="168" spans="1:15">
      <c r="A168" s="61"/>
      <c r="B168" s="31"/>
      <c r="C168" s="24" t="s">
        <v>18</v>
      </c>
      <c r="D168" s="1">
        <f t="shared" si="55"/>
        <v>2637.9647999999993</v>
      </c>
      <c r="E168" s="1">
        <f t="shared" si="55"/>
        <v>0</v>
      </c>
      <c r="F168" s="2">
        <f>1.2*F167</f>
        <v>2637.9647999999993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f>1.1*L167</f>
        <v>0</v>
      </c>
      <c r="M168" s="2"/>
      <c r="N168" s="38"/>
      <c r="O168" s="5"/>
    </row>
    <row r="169" spans="1:15" s="4" customFormat="1" ht="15.75" customHeight="1">
      <c r="A169" s="61"/>
      <c r="B169" s="31" t="s">
        <v>37</v>
      </c>
      <c r="C169" s="24" t="s">
        <v>12</v>
      </c>
      <c r="D169" s="1">
        <f>SUM(D170:D175)</f>
        <v>14516.576000000001</v>
      </c>
      <c r="E169" s="1">
        <f t="shared" ref="E169:M169" si="56">SUM(E170:E175)</f>
        <v>1685.6</v>
      </c>
      <c r="F169" s="2">
        <f t="shared" si="56"/>
        <v>11052</v>
      </c>
      <c r="G169" s="2">
        <f t="shared" si="56"/>
        <v>1500</v>
      </c>
      <c r="H169" s="2">
        <f t="shared" si="56"/>
        <v>0</v>
      </c>
      <c r="I169" s="2">
        <f t="shared" si="56"/>
        <v>0</v>
      </c>
      <c r="J169" s="2">
        <f t="shared" si="56"/>
        <v>2978.9759999999997</v>
      </c>
      <c r="K169" s="2">
        <f t="shared" si="56"/>
        <v>0</v>
      </c>
      <c r="L169" s="2">
        <f t="shared" si="56"/>
        <v>485.6</v>
      </c>
      <c r="M169" s="2">
        <f t="shared" si="56"/>
        <v>185.6</v>
      </c>
      <c r="N169" s="38"/>
      <c r="O169" s="3"/>
    </row>
    <row r="170" spans="1:15">
      <c r="A170" s="61"/>
      <c r="B170" s="31"/>
      <c r="C170" s="24" t="s">
        <v>13</v>
      </c>
      <c r="D170" s="1">
        <f t="shared" ref="D170:E175" si="57">F170+H170+J170+L170</f>
        <v>1815.6</v>
      </c>
      <c r="E170" s="1">
        <f t="shared" si="57"/>
        <v>1515.6</v>
      </c>
      <c r="F170" s="2">
        <v>1500</v>
      </c>
      <c r="G170" s="2">
        <v>1500</v>
      </c>
      <c r="H170" s="2">
        <v>0</v>
      </c>
      <c r="I170" s="2">
        <v>0</v>
      </c>
      <c r="J170" s="2">
        <v>300</v>
      </c>
      <c r="K170" s="2">
        <v>0</v>
      </c>
      <c r="L170" s="2">
        <v>15.6</v>
      </c>
      <c r="M170" s="2">
        <f>L170</f>
        <v>15.6</v>
      </c>
      <c r="N170" s="38"/>
      <c r="O170" s="5"/>
    </row>
    <row r="171" spans="1:15">
      <c r="A171" s="61"/>
      <c r="B171" s="31"/>
      <c r="C171" s="24" t="s">
        <v>14</v>
      </c>
      <c r="D171" s="1">
        <f t="shared" si="57"/>
        <v>1940</v>
      </c>
      <c r="E171" s="1">
        <f t="shared" si="57"/>
        <v>80</v>
      </c>
      <c r="F171" s="2">
        <f>F170</f>
        <v>1500</v>
      </c>
      <c r="G171" s="2">
        <v>0</v>
      </c>
      <c r="H171" s="2">
        <v>0</v>
      </c>
      <c r="I171" s="2">
        <v>0</v>
      </c>
      <c r="J171" s="2">
        <f>1.2*J170</f>
        <v>360</v>
      </c>
      <c r="K171" s="2">
        <v>0</v>
      </c>
      <c r="L171" s="2">
        <v>80</v>
      </c>
      <c r="M171" s="2">
        <f>L171</f>
        <v>80</v>
      </c>
      <c r="N171" s="38"/>
      <c r="O171" s="5"/>
    </row>
    <row r="172" spans="1:15">
      <c r="A172" s="61"/>
      <c r="B172" s="31"/>
      <c r="C172" s="24" t="s">
        <v>15</v>
      </c>
      <c r="D172" s="1">
        <f t="shared" si="57"/>
        <v>2022</v>
      </c>
      <c r="E172" s="1">
        <f t="shared" si="57"/>
        <v>90</v>
      </c>
      <c r="F172" s="2">
        <f>F171</f>
        <v>1500</v>
      </c>
      <c r="G172" s="2">
        <v>0</v>
      </c>
      <c r="H172" s="2">
        <v>0</v>
      </c>
      <c r="I172" s="2">
        <v>0</v>
      </c>
      <c r="J172" s="2">
        <f>1.2*J171</f>
        <v>432</v>
      </c>
      <c r="K172" s="2">
        <v>0</v>
      </c>
      <c r="L172" s="2">
        <v>90</v>
      </c>
      <c r="M172" s="2">
        <f>L172</f>
        <v>90</v>
      </c>
      <c r="N172" s="38"/>
      <c r="O172" s="5"/>
    </row>
    <row r="173" spans="1:15">
      <c r="A173" s="61"/>
      <c r="B173" s="31"/>
      <c r="C173" s="24" t="s">
        <v>16</v>
      </c>
      <c r="D173" s="1">
        <f t="shared" si="57"/>
        <v>2418.4</v>
      </c>
      <c r="E173" s="1">
        <f t="shared" si="57"/>
        <v>0</v>
      </c>
      <c r="F173" s="2">
        <f>1.2*F172</f>
        <v>1800</v>
      </c>
      <c r="G173" s="2">
        <v>0</v>
      </c>
      <c r="H173" s="2">
        <v>0</v>
      </c>
      <c r="I173" s="2">
        <v>0</v>
      </c>
      <c r="J173" s="2">
        <f>1.2*J172</f>
        <v>518.4</v>
      </c>
      <c r="K173" s="2">
        <v>0</v>
      </c>
      <c r="L173" s="2">
        <v>100</v>
      </c>
      <c r="M173" s="2"/>
      <c r="N173" s="38"/>
      <c r="O173" s="5"/>
    </row>
    <row r="174" spans="1:15">
      <c r="A174" s="61"/>
      <c r="B174" s="31"/>
      <c r="C174" s="24" t="s">
        <v>17</v>
      </c>
      <c r="D174" s="1">
        <f t="shared" si="57"/>
        <v>2882.08</v>
      </c>
      <c r="E174" s="1">
        <f t="shared" si="57"/>
        <v>0</v>
      </c>
      <c r="F174" s="2">
        <f>1.2*F173</f>
        <v>2160</v>
      </c>
      <c r="G174" s="2">
        <v>0</v>
      </c>
      <c r="H174" s="2">
        <v>0</v>
      </c>
      <c r="I174" s="2">
        <v>0</v>
      </c>
      <c r="J174" s="2">
        <f>1.2*J173</f>
        <v>622.07999999999993</v>
      </c>
      <c r="K174" s="2">
        <v>0</v>
      </c>
      <c r="L174" s="2">
        <v>100</v>
      </c>
      <c r="M174" s="2"/>
      <c r="N174" s="38"/>
      <c r="O174" s="5"/>
    </row>
    <row r="175" spans="1:15">
      <c r="A175" s="61"/>
      <c r="B175" s="31"/>
      <c r="C175" s="24" t="s">
        <v>18</v>
      </c>
      <c r="D175" s="1">
        <f t="shared" si="57"/>
        <v>3438.4960000000001</v>
      </c>
      <c r="E175" s="1">
        <f t="shared" si="57"/>
        <v>0</v>
      </c>
      <c r="F175" s="2">
        <f>1.2*F174</f>
        <v>2592</v>
      </c>
      <c r="G175" s="2">
        <v>0</v>
      </c>
      <c r="H175" s="2">
        <v>0</v>
      </c>
      <c r="I175" s="2">
        <v>0</v>
      </c>
      <c r="J175" s="2">
        <f>1.2*J174</f>
        <v>746.49599999999987</v>
      </c>
      <c r="K175" s="2">
        <v>0</v>
      </c>
      <c r="L175" s="2">
        <v>100</v>
      </c>
      <c r="M175" s="2"/>
      <c r="N175" s="38"/>
      <c r="O175" s="5"/>
    </row>
    <row r="176" spans="1:15" s="4" customFormat="1" ht="15.75" customHeight="1">
      <c r="A176" s="61"/>
      <c r="B176" s="31" t="s">
        <v>38</v>
      </c>
      <c r="C176" s="24" t="s">
        <v>12</v>
      </c>
      <c r="D176" s="1">
        <f>SUM(D177:D182)</f>
        <v>48512</v>
      </c>
      <c r="E176" s="1">
        <f t="shared" ref="E176:M176" si="58">SUM(E177:E182)</f>
        <v>230</v>
      </c>
      <c r="F176" s="2">
        <f t="shared" si="58"/>
        <v>47892</v>
      </c>
      <c r="G176" s="2">
        <f t="shared" si="58"/>
        <v>0</v>
      </c>
      <c r="H176" s="2">
        <f t="shared" si="58"/>
        <v>0</v>
      </c>
      <c r="I176" s="2">
        <f t="shared" si="58"/>
        <v>0</v>
      </c>
      <c r="J176" s="2">
        <f t="shared" si="58"/>
        <v>0</v>
      </c>
      <c r="K176" s="2">
        <f t="shared" si="58"/>
        <v>0</v>
      </c>
      <c r="L176" s="2">
        <f t="shared" si="58"/>
        <v>620</v>
      </c>
      <c r="M176" s="2">
        <f t="shared" si="58"/>
        <v>230</v>
      </c>
      <c r="N176" s="38"/>
      <c r="O176" s="3"/>
    </row>
    <row r="177" spans="1:15">
      <c r="A177" s="61"/>
      <c r="B177" s="31"/>
      <c r="C177" s="24" t="s">
        <v>13</v>
      </c>
      <c r="D177" s="1">
        <f t="shared" ref="D177:E182" si="59">F177+H177+J177+L177</f>
        <v>6500</v>
      </c>
      <c r="E177" s="1">
        <f t="shared" si="59"/>
        <v>0</v>
      </c>
      <c r="F177" s="2">
        <f>6500</f>
        <v>6500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38"/>
      <c r="O177" s="5"/>
    </row>
    <row r="178" spans="1:15">
      <c r="A178" s="61"/>
      <c r="B178" s="31"/>
      <c r="C178" s="24" t="s">
        <v>14</v>
      </c>
      <c r="D178" s="1">
        <f t="shared" si="59"/>
        <v>6600</v>
      </c>
      <c r="E178" s="1">
        <f t="shared" si="59"/>
        <v>100</v>
      </c>
      <c r="F178" s="2">
        <f>F177</f>
        <v>6500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100</v>
      </c>
      <c r="M178" s="2">
        <f>L178</f>
        <v>100</v>
      </c>
      <c r="N178" s="38"/>
      <c r="O178" s="5"/>
    </row>
    <row r="179" spans="1:15">
      <c r="A179" s="61"/>
      <c r="B179" s="31"/>
      <c r="C179" s="24" t="s">
        <v>15</v>
      </c>
      <c r="D179" s="1">
        <f t="shared" si="59"/>
        <v>6630</v>
      </c>
      <c r="E179" s="1">
        <f t="shared" si="59"/>
        <v>130</v>
      </c>
      <c r="F179" s="2">
        <f>F178</f>
        <v>6500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130</v>
      </c>
      <c r="M179" s="2">
        <f>L179</f>
        <v>130</v>
      </c>
      <c r="N179" s="38"/>
      <c r="O179" s="5"/>
    </row>
    <row r="180" spans="1:15">
      <c r="A180" s="61"/>
      <c r="B180" s="31"/>
      <c r="C180" s="24" t="s">
        <v>16</v>
      </c>
      <c r="D180" s="1">
        <f t="shared" si="59"/>
        <v>7930</v>
      </c>
      <c r="E180" s="1">
        <f t="shared" si="59"/>
        <v>0</v>
      </c>
      <c r="F180" s="2">
        <f>1.2*F179</f>
        <v>7800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130</v>
      </c>
      <c r="M180" s="2"/>
      <c r="N180" s="38"/>
      <c r="O180" s="5"/>
    </row>
    <row r="181" spans="1:15">
      <c r="A181" s="61"/>
      <c r="B181" s="31"/>
      <c r="C181" s="24" t="s">
        <v>17</v>
      </c>
      <c r="D181" s="1">
        <f t="shared" si="59"/>
        <v>9490</v>
      </c>
      <c r="E181" s="1">
        <f t="shared" si="59"/>
        <v>0</v>
      </c>
      <c r="F181" s="2">
        <f>1.2*F180</f>
        <v>9360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130</v>
      </c>
      <c r="M181" s="2"/>
      <c r="N181" s="38"/>
      <c r="O181" s="5"/>
    </row>
    <row r="182" spans="1:15">
      <c r="A182" s="61"/>
      <c r="B182" s="31"/>
      <c r="C182" s="24" t="s">
        <v>18</v>
      </c>
      <c r="D182" s="1">
        <f t="shared" si="59"/>
        <v>11362</v>
      </c>
      <c r="E182" s="1">
        <f t="shared" si="59"/>
        <v>0</v>
      </c>
      <c r="F182" s="2">
        <f>1.2*F181</f>
        <v>11232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130</v>
      </c>
      <c r="M182" s="2"/>
      <c r="N182" s="38"/>
      <c r="O182" s="5"/>
    </row>
    <row r="183" spans="1:15" s="4" customFormat="1" ht="20.25" hidden="1" customHeight="1">
      <c r="A183" s="61"/>
      <c r="B183" s="31" t="s">
        <v>39</v>
      </c>
      <c r="C183" s="24" t="s">
        <v>12</v>
      </c>
      <c r="D183" s="1">
        <f>SUM(D184:D189)</f>
        <v>0</v>
      </c>
      <c r="E183" s="1">
        <f t="shared" ref="E183:K183" si="60">SUM(E184:E189)</f>
        <v>0</v>
      </c>
      <c r="F183" s="2">
        <f t="shared" si="60"/>
        <v>0</v>
      </c>
      <c r="G183" s="2">
        <f t="shared" si="60"/>
        <v>0</v>
      </c>
      <c r="H183" s="2">
        <f t="shared" si="60"/>
        <v>0</v>
      </c>
      <c r="I183" s="2">
        <f t="shared" si="60"/>
        <v>0</v>
      </c>
      <c r="J183" s="2">
        <f t="shared" si="60"/>
        <v>0</v>
      </c>
      <c r="K183" s="2">
        <f t="shared" si="60"/>
        <v>0</v>
      </c>
      <c r="L183" s="2">
        <f>SUM(L184:L189)</f>
        <v>0</v>
      </c>
      <c r="M183" s="2">
        <f>SUM(M184:M189)</f>
        <v>0</v>
      </c>
      <c r="N183" s="38"/>
      <c r="O183" s="3"/>
    </row>
    <row r="184" spans="1:15" ht="20.25" hidden="1" customHeight="1">
      <c r="A184" s="61"/>
      <c r="B184" s="31" t="s">
        <v>24</v>
      </c>
      <c r="C184" s="24" t="s">
        <v>13</v>
      </c>
      <c r="D184" s="1">
        <f t="shared" ref="D184:E189" si="61">F184+H184+J184+L184</f>
        <v>0</v>
      </c>
      <c r="E184" s="1">
        <f t="shared" si="61"/>
        <v>0</v>
      </c>
      <c r="F184" s="2"/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f t="shared" ref="L184:L189" si="62">M184</f>
        <v>0</v>
      </c>
      <c r="M184" s="2">
        <v>0</v>
      </c>
      <c r="N184" s="38"/>
      <c r="O184" s="5"/>
    </row>
    <row r="185" spans="1:15" ht="20.25" hidden="1" customHeight="1">
      <c r="A185" s="61"/>
      <c r="B185" s="31" t="s">
        <v>25</v>
      </c>
      <c r="C185" s="24" t="s">
        <v>14</v>
      </c>
      <c r="D185" s="1">
        <f t="shared" si="61"/>
        <v>0</v>
      </c>
      <c r="E185" s="1">
        <f t="shared" si="61"/>
        <v>0</v>
      </c>
      <c r="F185" s="2"/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f t="shared" si="62"/>
        <v>0</v>
      </c>
      <c r="M185" s="2">
        <v>0</v>
      </c>
      <c r="N185" s="38"/>
      <c r="O185" s="5"/>
    </row>
    <row r="186" spans="1:15" ht="20.25" hidden="1" customHeight="1">
      <c r="A186" s="61"/>
      <c r="B186" s="31"/>
      <c r="C186" s="24" t="s">
        <v>15</v>
      </c>
      <c r="D186" s="1">
        <f t="shared" si="61"/>
        <v>0</v>
      </c>
      <c r="E186" s="1">
        <f t="shared" si="61"/>
        <v>0</v>
      </c>
      <c r="F186" s="2"/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f t="shared" si="62"/>
        <v>0</v>
      </c>
      <c r="M186" s="2">
        <v>0</v>
      </c>
      <c r="N186" s="38"/>
      <c r="O186" s="5"/>
    </row>
    <row r="187" spans="1:15" ht="20.25" hidden="1" customHeight="1">
      <c r="A187" s="61"/>
      <c r="B187" s="31"/>
      <c r="C187" s="24" t="s">
        <v>16</v>
      </c>
      <c r="D187" s="1">
        <f t="shared" si="61"/>
        <v>0</v>
      </c>
      <c r="E187" s="1">
        <f t="shared" si="61"/>
        <v>0</v>
      </c>
      <c r="F187" s="2"/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f t="shared" si="62"/>
        <v>0</v>
      </c>
      <c r="M187" s="2">
        <v>0</v>
      </c>
      <c r="N187" s="38"/>
      <c r="O187" s="5"/>
    </row>
    <row r="188" spans="1:15" ht="20.25" hidden="1" customHeight="1">
      <c r="A188" s="61"/>
      <c r="B188" s="31"/>
      <c r="C188" s="24" t="s">
        <v>17</v>
      </c>
      <c r="D188" s="1">
        <f t="shared" si="61"/>
        <v>0</v>
      </c>
      <c r="E188" s="1">
        <f t="shared" si="61"/>
        <v>0</v>
      </c>
      <c r="F188" s="2"/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f t="shared" si="62"/>
        <v>0</v>
      </c>
      <c r="M188" s="2">
        <v>0</v>
      </c>
      <c r="N188" s="38"/>
      <c r="O188" s="5"/>
    </row>
    <row r="189" spans="1:15" ht="20.25" hidden="1" customHeight="1">
      <c r="A189" s="61"/>
      <c r="B189" s="31"/>
      <c r="C189" s="24" t="s">
        <v>18</v>
      </c>
      <c r="D189" s="1">
        <f t="shared" si="61"/>
        <v>0</v>
      </c>
      <c r="E189" s="1">
        <f t="shared" si="61"/>
        <v>0</v>
      </c>
      <c r="F189" s="2"/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f t="shared" si="62"/>
        <v>0</v>
      </c>
      <c r="M189" s="2">
        <v>0</v>
      </c>
      <c r="N189" s="38"/>
      <c r="O189" s="5"/>
    </row>
    <row r="190" spans="1:15" s="4" customFormat="1" ht="16.5" hidden="1" customHeight="1">
      <c r="A190" s="61"/>
      <c r="B190" s="31" t="s">
        <v>40</v>
      </c>
      <c r="C190" s="24" t="s">
        <v>12</v>
      </c>
      <c r="D190" s="1">
        <f>SUM(D191:D196)</f>
        <v>0</v>
      </c>
      <c r="E190" s="1">
        <f t="shared" ref="E190:K190" si="63">SUM(E191:E196)</f>
        <v>0</v>
      </c>
      <c r="F190" s="2">
        <f t="shared" si="63"/>
        <v>0</v>
      </c>
      <c r="G190" s="2">
        <f t="shared" si="63"/>
        <v>0</v>
      </c>
      <c r="H190" s="2">
        <f t="shared" si="63"/>
        <v>0</v>
      </c>
      <c r="I190" s="2">
        <f t="shared" si="63"/>
        <v>0</v>
      </c>
      <c r="J190" s="2">
        <f t="shared" si="63"/>
        <v>0</v>
      </c>
      <c r="K190" s="2">
        <f t="shared" si="63"/>
        <v>0</v>
      </c>
      <c r="L190" s="2">
        <f>SUM(L191:L196)</f>
        <v>0</v>
      </c>
      <c r="M190" s="2">
        <f>SUM(M191:M196)</f>
        <v>0</v>
      </c>
      <c r="N190" s="38"/>
      <c r="O190" s="3"/>
    </row>
    <row r="191" spans="1:15" ht="15.75" hidden="1" customHeight="1">
      <c r="A191" s="61"/>
      <c r="B191" s="31"/>
      <c r="C191" s="24" t="s">
        <v>13</v>
      </c>
      <c r="D191" s="1">
        <f t="shared" ref="D191:E196" si="64">F191+H191+J191+L191</f>
        <v>0</v>
      </c>
      <c r="E191" s="1">
        <f t="shared" si="64"/>
        <v>0</v>
      </c>
      <c r="F191" s="2"/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f t="shared" ref="L191:L196" si="65">M191</f>
        <v>0</v>
      </c>
      <c r="M191" s="2">
        <v>0</v>
      </c>
      <c r="N191" s="38"/>
      <c r="O191" s="5"/>
    </row>
    <row r="192" spans="1:15" ht="15.75" hidden="1" customHeight="1">
      <c r="A192" s="61"/>
      <c r="B192" s="31"/>
      <c r="C192" s="24" t="s">
        <v>14</v>
      </c>
      <c r="D192" s="1">
        <f t="shared" si="64"/>
        <v>0</v>
      </c>
      <c r="E192" s="1">
        <f t="shared" si="64"/>
        <v>0</v>
      </c>
      <c r="F192" s="2"/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f t="shared" si="65"/>
        <v>0</v>
      </c>
      <c r="M192" s="2">
        <v>0</v>
      </c>
      <c r="N192" s="38"/>
      <c r="O192" s="5"/>
    </row>
    <row r="193" spans="1:15" ht="15.75" hidden="1" customHeight="1">
      <c r="A193" s="61"/>
      <c r="B193" s="31"/>
      <c r="C193" s="24" t="s">
        <v>15</v>
      </c>
      <c r="D193" s="1">
        <f t="shared" si="64"/>
        <v>0</v>
      </c>
      <c r="E193" s="1">
        <f t="shared" si="64"/>
        <v>0</v>
      </c>
      <c r="F193" s="2"/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f t="shared" si="65"/>
        <v>0</v>
      </c>
      <c r="M193" s="2">
        <v>0</v>
      </c>
      <c r="N193" s="38"/>
      <c r="O193" s="5"/>
    </row>
    <row r="194" spans="1:15" ht="15.75" hidden="1" customHeight="1">
      <c r="A194" s="61"/>
      <c r="B194" s="31"/>
      <c r="C194" s="24" t="s">
        <v>16</v>
      </c>
      <c r="D194" s="1">
        <f t="shared" si="64"/>
        <v>0</v>
      </c>
      <c r="E194" s="1">
        <f t="shared" si="64"/>
        <v>0</v>
      </c>
      <c r="F194" s="2"/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f t="shared" si="65"/>
        <v>0</v>
      </c>
      <c r="M194" s="2">
        <v>0</v>
      </c>
      <c r="N194" s="38"/>
      <c r="O194" s="5"/>
    </row>
    <row r="195" spans="1:15" ht="15.75" hidden="1" customHeight="1">
      <c r="A195" s="61"/>
      <c r="B195" s="31"/>
      <c r="C195" s="24" t="s">
        <v>17</v>
      </c>
      <c r="D195" s="1">
        <f t="shared" si="64"/>
        <v>0</v>
      </c>
      <c r="E195" s="1">
        <f t="shared" si="64"/>
        <v>0</v>
      </c>
      <c r="F195" s="2"/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f t="shared" si="65"/>
        <v>0</v>
      </c>
      <c r="M195" s="2">
        <v>0</v>
      </c>
      <c r="N195" s="38"/>
      <c r="O195" s="5"/>
    </row>
    <row r="196" spans="1:15" ht="15.75" hidden="1" customHeight="1">
      <c r="A196" s="61"/>
      <c r="B196" s="31"/>
      <c r="C196" s="24" t="s">
        <v>18</v>
      </c>
      <c r="D196" s="1">
        <f t="shared" si="64"/>
        <v>0</v>
      </c>
      <c r="E196" s="1">
        <f t="shared" si="64"/>
        <v>0</v>
      </c>
      <c r="F196" s="2"/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f t="shared" si="65"/>
        <v>0</v>
      </c>
      <c r="M196" s="2">
        <v>0</v>
      </c>
      <c r="N196" s="38"/>
      <c r="O196" s="5"/>
    </row>
    <row r="197" spans="1:15" s="4" customFormat="1" ht="20.25" customHeight="1">
      <c r="A197" s="61"/>
      <c r="B197" s="31" t="s">
        <v>53</v>
      </c>
      <c r="C197" s="24" t="s">
        <v>12</v>
      </c>
      <c r="D197" s="1">
        <f>SUM(D198:D203)</f>
        <v>9237.24</v>
      </c>
      <c r="E197" s="1">
        <f t="shared" ref="E197:M197" si="66">SUM(E198:E203)</f>
        <v>2255</v>
      </c>
      <c r="F197" s="2">
        <f t="shared" si="66"/>
        <v>6852.24</v>
      </c>
      <c r="G197" s="2">
        <f t="shared" si="66"/>
        <v>2030</v>
      </c>
      <c r="H197" s="2">
        <f t="shared" si="66"/>
        <v>900</v>
      </c>
      <c r="I197" s="2">
        <f t="shared" si="66"/>
        <v>0</v>
      </c>
      <c r="J197" s="2">
        <f t="shared" si="66"/>
        <v>900</v>
      </c>
      <c r="K197" s="2">
        <f t="shared" si="66"/>
        <v>0</v>
      </c>
      <c r="L197" s="2">
        <f t="shared" si="66"/>
        <v>585</v>
      </c>
      <c r="M197" s="2">
        <f t="shared" si="66"/>
        <v>225</v>
      </c>
      <c r="N197" s="38"/>
      <c r="O197" s="3"/>
    </row>
    <row r="198" spans="1:15" ht="20.25" customHeight="1">
      <c r="A198" s="61"/>
      <c r="B198" s="31"/>
      <c r="C198" s="24" t="s">
        <v>13</v>
      </c>
      <c r="D198" s="1">
        <f t="shared" ref="D198:E203" si="67">F198+H198+J198+L198</f>
        <v>1145</v>
      </c>
      <c r="E198" s="1">
        <f t="shared" si="67"/>
        <v>445</v>
      </c>
      <c r="F198" s="2">
        <f>500+G198</f>
        <v>930</v>
      </c>
      <c r="G198" s="2">
        <f>370+60</f>
        <v>430</v>
      </c>
      <c r="H198" s="2">
        <v>100</v>
      </c>
      <c r="I198" s="2">
        <v>0</v>
      </c>
      <c r="J198" s="2">
        <v>100</v>
      </c>
      <c r="K198" s="2">
        <v>0</v>
      </c>
      <c r="L198" s="2">
        <v>15</v>
      </c>
      <c r="M198" s="2">
        <f>L198</f>
        <v>15</v>
      </c>
      <c r="N198" s="38"/>
      <c r="O198" s="5"/>
    </row>
    <row r="199" spans="1:15" ht="20.25" customHeight="1">
      <c r="A199" s="61"/>
      <c r="B199" s="31"/>
      <c r="C199" s="24" t="s">
        <v>14</v>
      </c>
      <c r="D199" s="1">
        <f t="shared" si="67"/>
        <v>1230</v>
      </c>
      <c r="E199" s="1">
        <f t="shared" si="67"/>
        <v>900</v>
      </c>
      <c r="F199" s="2">
        <f>F198</f>
        <v>930</v>
      </c>
      <c r="G199" s="2">
        <v>800</v>
      </c>
      <c r="H199" s="2">
        <v>100</v>
      </c>
      <c r="I199" s="2">
        <v>0</v>
      </c>
      <c r="J199" s="2">
        <v>100</v>
      </c>
      <c r="K199" s="2">
        <v>0</v>
      </c>
      <c r="L199" s="2">
        <v>100</v>
      </c>
      <c r="M199" s="2">
        <v>100</v>
      </c>
      <c r="N199" s="38"/>
      <c r="O199" s="5"/>
    </row>
    <row r="200" spans="1:15" ht="20.25" customHeight="1">
      <c r="A200" s="61"/>
      <c r="B200" s="31"/>
      <c r="C200" s="24" t="s">
        <v>15</v>
      </c>
      <c r="D200" s="1">
        <f t="shared" si="67"/>
        <v>1240</v>
      </c>
      <c r="E200" s="1">
        <f t="shared" si="67"/>
        <v>910</v>
      </c>
      <c r="F200" s="2">
        <f>F199</f>
        <v>930</v>
      </c>
      <c r="G200" s="2">
        <v>800</v>
      </c>
      <c r="H200" s="2">
        <v>100</v>
      </c>
      <c r="I200" s="2">
        <v>0</v>
      </c>
      <c r="J200" s="2">
        <v>100</v>
      </c>
      <c r="K200" s="2">
        <v>0</v>
      </c>
      <c r="L200" s="2">
        <v>110</v>
      </c>
      <c r="M200" s="2">
        <v>110</v>
      </c>
      <c r="N200" s="38"/>
      <c r="O200" s="5"/>
    </row>
    <row r="201" spans="1:15" ht="20.25" customHeight="1">
      <c r="A201" s="61"/>
      <c r="B201" s="31"/>
      <c r="C201" s="24" t="s">
        <v>16</v>
      </c>
      <c r="D201" s="1">
        <f t="shared" si="67"/>
        <v>1536</v>
      </c>
      <c r="E201" s="1">
        <f t="shared" si="67"/>
        <v>0</v>
      </c>
      <c r="F201" s="2">
        <f>1.2*F200</f>
        <v>1116</v>
      </c>
      <c r="G201" s="2">
        <v>0</v>
      </c>
      <c r="H201" s="2">
        <v>150</v>
      </c>
      <c r="I201" s="2">
        <v>0</v>
      </c>
      <c r="J201" s="2">
        <v>150</v>
      </c>
      <c r="K201" s="2">
        <v>0</v>
      </c>
      <c r="L201" s="2">
        <v>120</v>
      </c>
      <c r="M201" s="2">
        <v>0</v>
      </c>
      <c r="N201" s="38"/>
      <c r="O201" s="5"/>
    </row>
    <row r="202" spans="1:15" ht="20.25" customHeight="1">
      <c r="A202" s="61"/>
      <c r="B202" s="31"/>
      <c r="C202" s="24" t="s">
        <v>17</v>
      </c>
      <c r="D202" s="1">
        <f t="shared" si="67"/>
        <v>1759.2</v>
      </c>
      <c r="E202" s="1">
        <f t="shared" si="67"/>
        <v>0</v>
      </c>
      <c r="F202" s="2">
        <f>1.2*F201</f>
        <v>1339.2</v>
      </c>
      <c r="G202" s="2">
        <v>0</v>
      </c>
      <c r="H202" s="2">
        <v>150</v>
      </c>
      <c r="I202" s="2">
        <v>0</v>
      </c>
      <c r="J202" s="2">
        <v>150</v>
      </c>
      <c r="K202" s="2">
        <v>0</v>
      </c>
      <c r="L202" s="2">
        <v>120</v>
      </c>
      <c r="M202" s="2"/>
      <c r="N202" s="38"/>
      <c r="O202" s="5"/>
    </row>
    <row r="203" spans="1:15" ht="20.25" customHeight="1">
      <c r="A203" s="61"/>
      <c r="B203" s="31"/>
      <c r="C203" s="24" t="s">
        <v>18</v>
      </c>
      <c r="D203" s="1">
        <f t="shared" si="67"/>
        <v>2327.04</v>
      </c>
      <c r="E203" s="1">
        <f t="shared" si="67"/>
        <v>0</v>
      </c>
      <c r="F203" s="2">
        <f>1.2*F202</f>
        <v>1607.04</v>
      </c>
      <c r="G203" s="2">
        <v>0</v>
      </c>
      <c r="H203" s="2">
        <v>300</v>
      </c>
      <c r="I203" s="2">
        <v>0</v>
      </c>
      <c r="J203" s="2">
        <v>300</v>
      </c>
      <c r="K203" s="2">
        <v>0</v>
      </c>
      <c r="L203" s="2">
        <v>120</v>
      </c>
      <c r="M203" s="2"/>
      <c r="N203" s="38"/>
      <c r="O203" s="5"/>
    </row>
    <row r="204" spans="1:15" s="4" customFormat="1" ht="15.75" customHeight="1">
      <c r="A204" s="61"/>
      <c r="B204" s="31" t="s">
        <v>42</v>
      </c>
      <c r="C204" s="24" t="s">
        <v>12</v>
      </c>
      <c r="D204" s="1">
        <f>SUM(D205:D210)</f>
        <v>3565.6</v>
      </c>
      <c r="E204" s="1">
        <f t="shared" ref="E204:K204" si="68">SUM(E205:E210)</f>
        <v>1450</v>
      </c>
      <c r="F204" s="2">
        <f t="shared" si="68"/>
        <v>3315.6</v>
      </c>
      <c r="G204" s="2">
        <f t="shared" si="68"/>
        <v>1200</v>
      </c>
      <c r="H204" s="2">
        <f t="shared" si="68"/>
        <v>0</v>
      </c>
      <c r="I204" s="2">
        <f t="shared" si="68"/>
        <v>0</v>
      </c>
      <c r="J204" s="2">
        <f t="shared" si="68"/>
        <v>0</v>
      </c>
      <c r="K204" s="2">
        <f t="shared" si="68"/>
        <v>0</v>
      </c>
      <c r="L204" s="2">
        <f>SUM(L205:L210)</f>
        <v>250</v>
      </c>
      <c r="M204" s="2">
        <f>SUM(M205:M210)</f>
        <v>250</v>
      </c>
      <c r="N204" s="38"/>
      <c r="O204" s="3"/>
    </row>
    <row r="205" spans="1:15">
      <c r="A205" s="61"/>
      <c r="B205" s="31"/>
      <c r="C205" s="24" t="s">
        <v>13</v>
      </c>
      <c r="D205" s="1">
        <f t="shared" ref="D205:E210" si="69">F205+H205+J205+L205</f>
        <v>700</v>
      </c>
      <c r="E205" s="1">
        <f t="shared" si="69"/>
        <v>250</v>
      </c>
      <c r="F205" s="2">
        <f>450+G205</f>
        <v>450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250</v>
      </c>
      <c r="M205" s="2">
        <f>L205</f>
        <v>250</v>
      </c>
      <c r="N205" s="38"/>
      <c r="O205" s="5"/>
    </row>
    <row r="206" spans="1:15">
      <c r="A206" s="61"/>
      <c r="B206" s="31"/>
      <c r="C206" s="24" t="s">
        <v>14</v>
      </c>
      <c r="D206" s="1">
        <f t="shared" si="69"/>
        <v>450</v>
      </c>
      <c r="E206" s="1">
        <f t="shared" si="69"/>
        <v>600</v>
      </c>
      <c r="F206" s="2">
        <f>F205</f>
        <v>450</v>
      </c>
      <c r="G206" s="2">
        <v>600</v>
      </c>
      <c r="H206" s="2">
        <v>0</v>
      </c>
      <c r="I206" s="2">
        <v>0</v>
      </c>
      <c r="J206" s="2">
        <v>0</v>
      </c>
      <c r="K206" s="2">
        <v>0</v>
      </c>
      <c r="L206" s="2">
        <f>M206</f>
        <v>0</v>
      </c>
      <c r="M206" s="2">
        <v>0</v>
      </c>
      <c r="N206" s="38"/>
      <c r="O206" s="5"/>
    </row>
    <row r="207" spans="1:15">
      <c r="A207" s="61"/>
      <c r="B207" s="31"/>
      <c r="C207" s="24" t="s">
        <v>15</v>
      </c>
      <c r="D207" s="1">
        <f t="shared" si="69"/>
        <v>450</v>
      </c>
      <c r="E207" s="1">
        <f t="shared" si="69"/>
        <v>600</v>
      </c>
      <c r="F207" s="2">
        <f>F206</f>
        <v>450</v>
      </c>
      <c r="G207" s="2">
        <v>600</v>
      </c>
      <c r="H207" s="2">
        <v>0</v>
      </c>
      <c r="I207" s="2">
        <v>0</v>
      </c>
      <c r="J207" s="2">
        <v>0</v>
      </c>
      <c r="K207" s="2">
        <v>0</v>
      </c>
      <c r="L207" s="2">
        <f>M207</f>
        <v>0</v>
      </c>
      <c r="M207" s="2">
        <v>0</v>
      </c>
      <c r="N207" s="38"/>
      <c r="O207" s="5"/>
    </row>
    <row r="208" spans="1:15">
      <c r="A208" s="61"/>
      <c r="B208" s="31"/>
      <c r="C208" s="24" t="s">
        <v>16</v>
      </c>
      <c r="D208" s="1">
        <f t="shared" si="69"/>
        <v>540</v>
      </c>
      <c r="E208" s="1">
        <f t="shared" si="69"/>
        <v>0</v>
      </c>
      <c r="F208" s="2">
        <f>1.2*F207</f>
        <v>540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f>M208</f>
        <v>0</v>
      </c>
      <c r="M208" s="2">
        <v>0</v>
      </c>
      <c r="N208" s="38"/>
      <c r="O208" s="5"/>
    </row>
    <row r="209" spans="1:15">
      <c r="A209" s="61"/>
      <c r="B209" s="31"/>
      <c r="C209" s="24" t="s">
        <v>17</v>
      </c>
      <c r="D209" s="1">
        <f t="shared" si="69"/>
        <v>648</v>
      </c>
      <c r="E209" s="1">
        <f t="shared" si="69"/>
        <v>0</v>
      </c>
      <c r="F209" s="2">
        <f>1.2*F208</f>
        <v>648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f>M209</f>
        <v>0</v>
      </c>
      <c r="M209" s="2">
        <v>0</v>
      </c>
      <c r="N209" s="38"/>
      <c r="O209" s="5"/>
    </row>
    <row r="210" spans="1:15">
      <c r="A210" s="61"/>
      <c r="B210" s="31"/>
      <c r="C210" s="24" t="s">
        <v>18</v>
      </c>
      <c r="D210" s="1">
        <f t="shared" si="69"/>
        <v>777.6</v>
      </c>
      <c r="E210" s="1">
        <f t="shared" si="69"/>
        <v>0</v>
      </c>
      <c r="F210" s="2">
        <f>1.2*F209</f>
        <v>777.6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f>M210</f>
        <v>0</v>
      </c>
      <c r="M210" s="2">
        <v>0</v>
      </c>
      <c r="N210" s="38"/>
      <c r="O210" s="5"/>
    </row>
    <row r="211" spans="1:15" s="4" customFormat="1" ht="15.75" customHeight="1">
      <c r="A211" s="61"/>
      <c r="B211" s="31" t="s">
        <v>43</v>
      </c>
      <c r="C211" s="24" t="s">
        <v>12</v>
      </c>
      <c r="D211" s="1">
        <f>SUM(D212:D217)</f>
        <v>10032.784</v>
      </c>
      <c r="E211" s="1">
        <f t="shared" ref="E211:M211" si="70">SUM(E212:E217)</f>
        <v>520</v>
      </c>
      <c r="F211" s="2">
        <f t="shared" si="70"/>
        <v>7696.7999999999993</v>
      </c>
      <c r="G211" s="2">
        <f t="shared" si="70"/>
        <v>400</v>
      </c>
      <c r="H211" s="2">
        <f t="shared" si="70"/>
        <v>992.99199999999996</v>
      </c>
      <c r="I211" s="2">
        <f t="shared" si="70"/>
        <v>0</v>
      </c>
      <c r="J211" s="2">
        <f t="shared" si="70"/>
        <v>992.99199999999996</v>
      </c>
      <c r="K211" s="2">
        <f t="shared" si="70"/>
        <v>0</v>
      </c>
      <c r="L211" s="2">
        <f t="shared" si="70"/>
        <v>350</v>
      </c>
      <c r="M211" s="2">
        <f t="shared" si="70"/>
        <v>120</v>
      </c>
      <c r="N211" s="38"/>
      <c r="O211" s="3"/>
    </row>
    <row r="212" spans="1:15">
      <c r="A212" s="61"/>
      <c r="B212" s="31"/>
      <c r="C212" s="24" t="s">
        <v>13</v>
      </c>
      <c r="D212" s="1">
        <f t="shared" ref="D212:E217" si="71">F212+H212+J212+L212</f>
        <v>800</v>
      </c>
      <c r="E212" s="1">
        <f t="shared" si="71"/>
        <v>0</v>
      </c>
      <c r="F212" s="2">
        <f>600+G212</f>
        <v>600</v>
      </c>
      <c r="G212" s="2">
        <v>0</v>
      </c>
      <c r="H212" s="2">
        <v>100</v>
      </c>
      <c r="I212" s="2">
        <v>0</v>
      </c>
      <c r="J212" s="2">
        <v>100</v>
      </c>
      <c r="K212" s="2">
        <v>0</v>
      </c>
      <c r="L212" s="2">
        <v>0</v>
      </c>
      <c r="M212" s="2">
        <f>L212</f>
        <v>0</v>
      </c>
      <c r="N212" s="38"/>
      <c r="O212" s="5"/>
    </row>
    <row r="213" spans="1:15">
      <c r="A213" s="61"/>
      <c r="B213" s="31"/>
      <c r="C213" s="24" t="s">
        <v>14</v>
      </c>
      <c r="D213" s="1">
        <f t="shared" si="71"/>
        <v>900</v>
      </c>
      <c r="E213" s="1">
        <f t="shared" si="71"/>
        <v>260</v>
      </c>
      <c r="F213" s="2">
        <f>F212</f>
        <v>600</v>
      </c>
      <c r="G213" s="2">
        <v>200</v>
      </c>
      <c r="H213" s="2">
        <f>1.2*H212</f>
        <v>120</v>
      </c>
      <c r="I213" s="2">
        <v>0</v>
      </c>
      <c r="J213" s="2">
        <f>1.2*J212</f>
        <v>120</v>
      </c>
      <c r="K213" s="2">
        <v>0</v>
      </c>
      <c r="L213" s="2">
        <v>60</v>
      </c>
      <c r="M213" s="2">
        <f>L213</f>
        <v>60</v>
      </c>
      <c r="N213" s="38"/>
      <c r="O213" s="5"/>
    </row>
    <row r="214" spans="1:15">
      <c r="A214" s="61"/>
      <c r="B214" s="31"/>
      <c r="C214" s="24" t="s">
        <v>15</v>
      </c>
      <c r="D214" s="1">
        <f t="shared" si="71"/>
        <v>948</v>
      </c>
      <c r="E214" s="1">
        <f t="shared" si="71"/>
        <v>260</v>
      </c>
      <c r="F214" s="2">
        <f>F213</f>
        <v>600</v>
      </c>
      <c r="G214" s="2">
        <v>200</v>
      </c>
      <c r="H214" s="2">
        <f t="shared" ref="H214:J217" si="72">1.2*H213</f>
        <v>144</v>
      </c>
      <c r="I214" s="2">
        <v>0</v>
      </c>
      <c r="J214" s="2">
        <f t="shared" si="72"/>
        <v>144</v>
      </c>
      <c r="K214" s="2">
        <v>0</v>
      </c>
      <c r="L214" s="2">
        <v>60</v>
      </c>
      <c r="M214" s="2">
        <f>L214</f>
        <v>60</v>
      </c>
      <c r="N214" s="38"/>
      <c r="O214" s="5"/>
    </row>
    <row r="215" spans="1:15">
      <c r="A215" s="61"/>
      <c r="B215" s="31"/>
      <c r="C215" s="24" t="s">
        <v>16</v>
      </c>
      <c r="D215" s="1">
        <f t="shared" si="71"/>
        <v>2035.6</v>
      </c>
      <c r="E215" s="1">
        <f t="shared" si="71"/>
        <v>0</v>
      </c>
      <c r="F215" s="2">
        <f>1.2*F214+900</f>
        <v>1620</v>
      </c>
      <c r="G215" s="2">
        <v>0</v>
      </c>
      <c r="H215" s="2">
        <f t="shared" si="72"/>
        <v>172.79999999999998</v>
      </c>
      <c r="I215" s="2">
        <v>0</v>
      </c>
      <c r="J215" s="2">
        <f t="shared" si="72"/>
        <v>172.79999999999998</v>
      </c>
      <c r="K215" s="2">
        <v>0</v>
      </c>
      <c r="L215" s="2">
        <v>70</v>
      </c>
      <c r="M215" s="2"/>
      <c r="N215" s="38"/>
      <c r="O215" s="5"/>
    </row>
    <row r="216" spans="1:15">
      <c r="A216" s="61"/>
      <c r="B216" s="31"/>
      <c r="C216" s="24" t="s">
        <v>17</v>
      </c>
      <c r="D216" s="1">
        <f t="shared" si="71"/>
        <v>2438.7200000000003</v>
      </c>
      <c r="E216" s="1">
        <f t="shared" si="71"/>
        <v>0</v>
      </c>
      <c r="F216" s="2">
        <f>1.2*F215</f>
        <v>1944</v>
      </c>
      <c r="G216" s="2">
        <v>0</v>
      </c>
      <c r="H216" s="2">
        <f t="shared" si="72"/>
        <v>207.35999999999999</v>
      </c>
      <c r="I216" s="2">
        <v>0</v>
      </c>
      <c r="J216" s="2">
        <f t="shared" si="72"/>
        <v>207.35999999999999</v>
      </c>
      <c r="K216" s="2">
        <v>0</v>
      </c>
      <c r="L216" s="2">
        <v>80</v>
      </c>
      <c r="M216" s="2"/>
      <c r="N216" s="38"/>
      <c r="O216" s="5"/>
    </row>
    <row r="217" spans="1:15">
      <c r="A217" s="61"/>
      <c r="B217" s="31"/>
      <c r="C217" s="24" t="s">
        <v>18</v>
      </c>
      <c r="D217" s="1">
        <f t="shared" si="71"/>
        <v>2910.4639999999995</v>
      </c>
      <c r="E217" s="1">
        <f t="shared" si="71"/>
        <v>0</v>
      </c>
      <c r="F217" s="2">
        <f>1.2*F216</f>
        <v>2332.7999999999997</v>
      </c>
      <c r="G217" s="2">
        <v>0</v>
      </c>
      <c r="H217" s="2">
        <f t="shared" si="72"/>
        <v>248.83199999999997</v>
      </c>
      <c r="I217" s="2">
        <v>0</v>
      </c>
      <c r="J217" s="2">
        <f t="shared" si="72"/>
        <v>248.83199999999997</v>
      </c>
      <c r="K217" s="2">
        <v>0</v>
      </c>
      <c r="L217" s="2">
        <v>80</v>
      </c>
      <c r="M217" s="2"/>
      <c r="N217" s="38"/>
      <c r="O217" s="5"/>
    </row>
    <row r="218" spans="1:15" s="4" customFormat="1" ht="15.75" customHeight="1">
      <c r="A218" s="61"/>
      <c r="B218" s="31" t="s">
        <v>44</v>
      </c>
      <c r="C218" s="24" t="s">
        <v>12</v>
      </c>
      <c r="D218" s="1">
        <f>SUM(D219:D224)</f>
        <v>14777.903999999999</v>
      </c>
      <c r="E218" s="1">
        <f>SUM(E219:E224)</f>
        <v>2650</v>
      </c>
      <c r="F218" s="2">
        <f>SUM(F219:F224)</f>
        <v>12451.92</v>
      </c>
      <c r="G218" s="2">
        <f>SUM(G219:G224)</f>
        <v>2490</v>
      </c>
      <c r="H218" s="2">
        <f t="shared" ref="H218:M218" si="73">SUM(H219:H224)</f>
        <v>0</v>
      </c>
      <c r="I218" s="2">
        <f t="shared" si="73"/>
        <v>0</v>
      </c>
      <c r="J218" s="2">
        <f t="shared" si="73"/>
        <v>1985.9839999999999</v>
      </c>
      <c r="K218" s="2">
        <f t="shared" si="73"/>
        <v>0</v>
      </c>
      <c r="L218" s="2">
        <f t="shared" si="73"/>
        <v>340</v>
      </c>
      <c r="M218" s="2">
        <f t="shared" si="73"/>
        <v>160</v>
      </c>
      <c r="N218" s="38"/>
      <c r="O218" s="3"/>
    </row>
    <row r="219" spans="1:15">
      <c r="A219" s="61"/>
      <c r="B219" s="31"/>
      <c r="C219" s="24" t="s">
        <v>13</v>
      </c>
      <c r="D219" s="1">
        <f t="shared" ref="D219:E224" si="74">F219+H219+J219+L219</f>
        <v>1940</v>
      </c>
      <c r="E219" s="1">
        <f>G219+I219+K219+M219</f>
        <v>940</v>
      </c>
      <c r="F219" s="2">
        <f>800+G219</f>
        <v>1690</v>
      </c>
      <c r="G219" s="2">
        <f>890</f>
        <v>890</v>
      </c>
      <c r="H219" s="2">
        <v>0</v>
      </c>
      <c r="I219" s="2">
        <v>0</v>
      </c>
      <c r="J219" s="2">
        <f>200</f>
        <v>200</v>
      </c>
      <c r="K219" s="2">
        <v>0</v>
      </c>
      <c r="L219" s="2">
        <v>50</v>
      </c>
      <c r="M219" s="2">
        <v>50</v>
      </c>
      <c r="N219" s="38"/>
      <c r="O219" s="5"/>
    </row>
    <row r="220" spans="1:15">
      <c r="A220" s="61"/>
      <c r="B220" s="31"/>
      <c r="C220" s="24" t="s">
        <v>14</v>
      </c>
      <c r="D220" s="1">
        <f t="shared" si="74"/>
        <v>1980</v>
      </c>
      <c r="E220" s="1">
        <f t="shared" si="74"/>
        <v>850</v>
      </c>
      <c r="F220" s="2">
        <f>F219</f>
        <v>1690</v>
      </c>
      <c r="G220" s="2">
        <v>800</v>
      </c>
      <c r="H220" s="2">
        <v>0</v>
      </c>
      <c r="I220" s="2">
        <v>0</v>
      </c>
      <c r="J220" s="2">
        <f>1.2*200</f>
        <v>240</v>
      </c>
      <c r="K220" s="2">
        <v>0</v>
      </c>
      <c r="L220" s="2">
        <v>50</v>
      </c>
      <c r="M220" s="2">
        <v>50</v>
      </c>
      <c r="N220" s="38"/>
      <c r="O220" s="5"/>
    </row>
    <row r="221" spans="1:15">
      <c r="A221" s="61"/>
      <c r="B221" s="31"/>
      <c r="C221" s="24" t="s">
        <v>15</v>
      </c>
      <c r="D221" s="1">
        <f t="shared" si="74"/>
        <v>2038</v>
      </c>
      <c r="E221" s="1">
        <f t="shared" si="74"/>
        <v>860</v>
      </c>
      <c r="F221" s="2">
        <f>F220</f>
        <v>1690</v>
      </c>
      <c r="G221" s="2">
        <v>800</v>
      </c>
      <c r="H221" s="2">
        <v>0</v>
      </c>
      <c r="I221" s="2">
        <v>0</v>
      </c>
      <c r="J221" s="2">
        <f>1.2*J220</f>
        <v>288</v>
      </c>
      <c r="K221" s="2">
        <v>0</v>
      </c>
      <c r="L221" s="2">
        <v>60</v>
      </c>
      <c r="M221" s="2">
        <v>60</v>
      </c>
      <c r="N221" s="38"/>
      <c r="O221" s="5"/>
    </row>
    <row r="222" spans="1:15">
      <c r="A222" s="61"/>
      <c r="B222" s="31"/>
      <c r="C222" s="24" t="s">
        <v>16</v>
      </c>
      <c r="D222" s="1">
        <f t="shared" si="74"/>
        <v>2433.6</v>
      </c>
      <c r="E222" s="1">
        <f t="shared" si="74"/>
        <v>0</v>
      </c>
      <c r="F222" s="2">
        <f>1.2*F221</f>
        <v>2028</v>
      </c>
      <c r="G222" s="2">
        <v>0</v>
      </c>
      <c r="H222" s="2">
        <v>0</v>
      </c>
      <c r="I222" s="2">
        <v>0</v>
      </c>
      <c r="J222" s="2">
        <f>1.2*J221</f>
        <v>345.59999999999997</v>
      </c>
      <c r="K222" s="2">
        <v>0</v>
      </c>
      <c r="L222" s="2">
        <v>60</v>
      </c>
      <c r="M222" s="2"/>
      <c r="N222" s="38"/>
      <c r="O222" s="5"/>
    </row>
    <row r="223" spans="1:15">
      <c r="A223" s="61"/>
      <c r="B223" s="31"/>
      <c r="C223" s="24" t="s">
        <v>17</v>
      </c>
      <c r="D223" s="1">
        <f t="shared" si="74"/>
        <v>2908.3199999999997</v>
      </c>
      <c r="E223" s="1">
        <f t="shared" si="74"/>
        <v>0</v>
      </c>
      <c r="F223" s="2">
        <f>1.2*F222</f>
        <v>2433.6</v>
      </c>
      <c r="G223" s="2">
        <v>0</v>
      </c>
      <c r="H223" s="2">
        <v>0</v>
      </c>
      <c r="I223" s="2">
        <v>0</v>
      </c>
      <c r="J223" s="2">
        <f>1.2*J222</f>
        <v>414.71999999999997</v>
      </c>
      <c r="K223" s="2">
        <v>0</v>
      </c>
      <c r="L223" s="2">
        <v>60</v>
      </c>
      <c r="M223" s="2"/>
      <c r="N223" s="38"/>
      <c r="O223" s="5"/>
    </row>
    <row r="224" spans="1:15">
      <c r="A224" s="61"/>
      <c r="B224" s="31"/>
      <c r="C224" s="24" t="s">
        <v>18</v>
      </c>
      <c r="D224" s="1">
        <f t="shared" si="74"/>
        <v>3477.9839999999995</v>
      </c>
      <c r="E224" s="1">
        <f t="shared" si="74"/>
        <v>0</v>
      </c>
      <c r="F224" s="2">
        <f>1.2*F223</f>
        <v>2920.3199999999997</v>
      </c>
      <c r="G224" s="2">
        <v>0</v>
      </c>
      <c r="H224" s="2">
        <v>0</v>
      </c>
      <c r="I224" s="2">
        <v>0</v>
      </c>
      <c r="J224" s="2">
        <f>1.2*J223</f>
        <v>497.66399999999993</v>
      </c>
      <c r="K224" s="2">
        <v>0</v>
      </c>
      <c r="L224" s="2">
        <v>60</v>
      </c>
      <c r="M224" s="2"/>
      <c r="N224" s="38"/>
      <c r="O224" s="5"/>
    </row>
    <row r="225" spans="1:18" s="4" customFormat="1" ht="15.75" customHeight="1">
      <c r="A225" s="61"/>
      <c r="B225" s="34" t="s">
        <v>48</v>
      </c>
      <c r="C225" s="24" t="s">
        <v>12</v>
      </c>
      <c r="D225" s="1">
        <f>SUM(D226:D231)</f>
        <v>1932.6</v>
      </c>
      <c r="E225" s="1">
        <f>SUM(E226:E231)</f>
        <v>876.2</v>
      </c>
      <c r="F225" s="2"/>
      <c r="G225" s="2"/>
      <c r="H225" s="2">
        <f t="shared" ref="H225:M225" si="75">SUM(H226:H231)</f>
        <v>0</v>
      </c>
      <c r="I225" s="2">
        <f t="shared" si="75"/>
        <v>0</v>
      </c>
      <c r="J225" s="2">
        <f t="shared" si="75"/>
        <v>0</v>
      </c>
      <c r="K225" s="2">
        <f t="shared" si="75"/>
        <v>0</v>
      </c>
      <c r="L225" s="2">
        <f t="shared" si="75"/>
        <v>48</v>
      </c>
      <c r="M225" s="2">
        <f t="shared" si="75"/>
        <v>48</v>
      </c>
      <c r="N225" s="38"/>
      <c r="O225" s="3"/>
      <c r="P225" s="6"/>
      <c r="Q225" s="6"/>
    </row>
    <row r="226" spans="1:18">
      <c r="A226" s="61"/>
      <c r="B226" s="34"/>
      <c r="C226" s="24" t="s">
        <v>13</v>
      </c>
      <c r="D226" s="1">
        <f t="shared" ref="D226:E231" si="76">F226+H226+J226+L226</f>
        <v>362.1</v>
      </c>
      <c r="E226" s="1">
        <f t="shared" si="76"/>
        <v>248.00000000000003</v>
      </c>
      <c r="F226" s="2">
        <v>314.10000000000002</v>
      </c>
      <c r="G226" s="2">
        <f>314.1-114.1</f>
        <v>200.00000000000003</v>
      </c>
      <c r="H226" s="2">
        <v>0</v>
      </c>
      <c r="I226" s="2">
        <v>0</v>
      </c>
      <c r="J226" s="2">
        <v>0</v>
      </c>
      <c r="K226" s="2">
        <v>0</v>
      </c>
      <c r="L226" s="2">
        <v>48</v>
      </c>
      <c r="M226" s="2">
        <f>L226</f>
        <v>48</v>
      </c>
      <c r="N226" s="38"/>
      <c r="O226" s="22"/>
    </row>
    <row r="227" spans="1:18">
      <c r="A227" s="61"/>
      <c r="B227" s="34"/>
      <c r="C227" s="24" t="s">
        <v>14</v>
      </c>
      <c r="D227" s="1">
        <f t="shared" si="76"/>
        <v>314.10000000000002</v>
      </c>
      <c r="E227" s="1">
        <f t="shared" si="76"/>
        <v>314.10000000000002</v>
      </c>
      <c r="F227" s="2">
        <v>314.10000000000002</v>
      </c>
      <c r="G227" s="2">
        <v>314.10000000000002</v>
      </c>
      <c r="H227" s="2">
        <v>0</v>
      </c>
      <c r="I227" s="2">
        <v>0</v>
      </c>
      <c r="J227" s="2">
        <f>1.2*J226</f>
        <v>0</v>
      </c>
      <c r="K227" s="2">
        <v>0</v>
      </c>
      <c r="L227" s="2">
        <v>0</v>
      </c>
      <c r="M227" s="2">
        <v>0</v>
      </c>
      <c r="N227" s="38"/>
      <c r="O227" s="5"/>
    </row>
    <row r="228" spans="1:18">
      <c r="A228" s="61"/>
      <c r="B228" s="34"/>
      <c r="C228" s="24" t="s">
        <v>15</v>
      </c>
      <c r="D228" s="1">
        <f t="shared" si="76"/>
        <v>314.10000000000002</v>
      </c>
      <c r="E228" s="1">
        <f t="shared" si="76"/>
        <v>314.10000000000002</v>
      </c>
      <c r="F228" s="2">
        <v>314.10000000000002</v>
      </c>
      <c r="G228" s="2">
        <v>314.10000000000002</v>
      </c>
      <c r="H228" s="2">
        <v>0</v>
      </c>
      <c r="I228" s="2">
        <v>0</v>
      </c>
      <c r="J228" s="2">
        <f>1.2*J227</f>
        <v>0</v>
      </c>
      <c r="K228" s="2">
        <v>0</v>
      </c>
      <c r="L228" s="2">
        <v>0</v>
      </c>
      <c r="M228" s="2">
        <v>0</v>
      </c>
      <c r="N228" s="38"/>
      <c r="O228" s="5"/>
    </row>
    <row r="229" spans="1:18">
      <c r="A229" s="61"/>
      <c r="B229" s="34"/>
      <c r="C229" s="24" t="s">
        <v>16</v>
      </c>
      <c r="D229" s="1">
        <f t="shared" si="76"/>
        <v>314.10000000000002</v>
      </c>
      <c r="E229" s="1">
        <f t="shared" si="76"/>
        <v>0</v>
      </c>
      <c r="F229" s="2">
        <v>314.10000000000002</v>
      </c>
      <c r="G229" s="2"/>
      <c r="H229" s="2">
        <v>0</v>
      </c>
      <c r="I229" s="2">
        <v>0</v>
      </c>
      <c r="J229" s="2">
        <f>1.2*J228</f>
        <v>0</v>
      </c>
      <c r="K229" s="2">
        <v>0</v>
      </c>
      <c r="L229" s="2">
        <v>0</v>
      </c>
      <c r="M229" s="2">
        <v>0</v>
      </c>
      <c r="N229" s="38"/>
      <c r="O229" s="5"/>
    </row>
    <row r="230" spans="1:18">
      <c r="A230" s="61"/>
      <c r="B230" s="34"/>
      <c r="C230" s="24" t="s">
        <v>17</v>
      </c>
      <c r="D230" s="1">
        <f t="shared" si="76"/>
        <v>314.10000000000002</v>
      </c>
      <c r="E230" s="1">
        <f t="shared" si="76"/>
        <v>0</v>
      </c>
      <c r="F230" s="2">
        <v>314.10000000000002</v>
      </c>
      <c r="G230" s="2"/>
      <c r="H230" s="2">
        <v>0</v>
      </c>
      <c r="I230" s="2">
        <v>0</v>
      </c>
      <c r="J230" s="2">
        <f>1.2*J229</f>
        <v>0</v>
      </c>
      <c r="K230" s="2">
        <v>0</v>
      </c>
      <c r="L230" s="2">
        <v>0</v>
      </c>
      <c r="M230" s="2">
        <v>0</v>
      </c>
      <c r="N230" s="38"/>
      <c r="O230" s="5"/>
    </row>
    <row r="231" spans="1:18">
      <c r="A231" s="62"/>
      <c r="B231" s="34"/>
      <c r="C231" s="24" t="s">
        <v>18</v>
      </c>
      <c r="D231" s="1">
        <f t="shared" si="76"/>
        <v>314.10000000000002</v>
      </c>
      <c r="E231" s="1">
        <f t="shared" si="76"/>
        <v>0</v>
      </c>
      <c r="F231" s="2">
        <v>314.10000000000002</v>
      </c>
      <c r="G231" s="2"/>
      <c r="H231" s="2">
        <v>0</v>
      </c>
      <c r="I231" s="2">
        <v>0</v>
      </c>
      <c r="J231" s="2">
        <f>1.2*J230</f>
        <v>0</v>
      </c>
      <c r="K231" s="2">
        <v>0</v>
      </c>
      <c r="L231" s="2">
        <v>0</v>
      </c>
      <c r="M231" s="2">
        <v>0</v>
      </c>
      <c r="N231" s="38"/>
      <c r="O231" s="5"/>
    </row>
    <row r="232" spans="1:18" s="16" customFormat="1">
      <c r="A232" s="46"/>
      <c r="B232" s="47" t="s">
        <v>61</v>
      </c>
      <c r="C232" s="25" t="s">
        <v>12</v>
      </c>
      <c r="D232" s="1">
        <f>SUM(D233:D238)</f>
        <v>3589895.1973840008</v>
      </c>
      <c r="E232" s="1">
        <f t="shared" ref="E232:K232" si="77">SUM(E233:E238)</f>
        <v>1271654.9440000001</v>
      </c>
      <c r="F232" s="1">
        <f t="shared" si="77"/>
        <v>1988707.1023840006</v>
      </c>
      <c r="G232" s="1">
        <f t="shared" si="77"/>
        <v>725254.64399999997</v>
      </c>
      <c r="H232" s="1">
        <f t="shared" si="77"/>
        <v>20943.687250000003</v>
      </c>
      <c r="I232" s="1">
        <f t="shared" si="77"/>
        <v>0</v>
      </c>
      <c r="J232" s="1">
        <f t="shared" si="77"/>
        <v>1299851.0077499999</v>
      </c>
      <c r="K232" s="1">
        <f t="shared" si="77"/>
        <v>396360.2</v>
      </c>
      <c r="L232" s="1">
        <f>SUM(L233:L238)</f>
        <v>280393.40000000002</v>
      </c>
      <c r="M232" s="1">
        <f>SUM(M233:M238)</f>
        <v>150040.1</v>
      </c>
      <c r="N232" s="38"/>
      <c r="O232" s="5"/>
    </row>
    <row r="233" spans="1:18" s="16" customFormat="1">
      <c r="A233" s="46"/>
      <c r="B233" s="47"/>
      <c r="C233" s="25" t="s">
        <v>13</v>
      </c>
      <c r="D233" s="1">
        <f>F233+H233+J233+L233</f>
        <v>423497.14400000003</v>
      </c>
      <c r="E233" s="1">
        <f>G233+I233+K233+M233</f>
        <v>369330.54400000005</v>
      </c>
      <c r="F233" s="1">
        <f>F23+F65+F86+F149</f>
        <v>287073.04400000005</v>
      </c>
      <c r="G233" s="1">
        <f t="shared" ref="F233:K238" si="78">G23+G65+G86+G149</f>
        <v>242825.44400000002</v>
      </c>
      <c r="H233" s="1">
        <f t="shared" si="78"/>
        <v>3225</v>
      </c>
      <c r="I233" s="1">
        <f t="shared" si="78"/>
        <v>0</v>
      </c>
      <c r="J233" s="1">
        <f t="shared" si="78"/>
        <v>69836.899999999994</v>
      </c>
      <c r="K233" s="1">
        <f t="shared" si="78"/>
        <v>63142.9</v>
      </c>
      <c r="L233" s="1">
        <f>L23+L65+L86+L149</f>
        <v>63362.2</v>
      </c>
      <c r="M233" s="1">
        <f>M23+M65+M86+M149</f>
        <v>63362.2</v>
      </c>
      <c r="N233" s="38"/>
      <c r="O233" s="5"/>
      <c r="P233" s="15"/>
      <c r="Q233" s="15"/>
      <c r="R233" s="15"/>
    </row>
    <row r="234" spans="1:18" s="16" customFormat="1">
      <c r="A234" s="46"/>
      <c r="B234" s="47"/>
      <c r="C234" s="25" t="s">
        <v>14</v>
      </c>
      <c r="D234" s="1">
        <f t="shared" ref="D234:E238" si="79">F234+H234+J234+L234</f>
        <v>473477.44400000008</v>
      </c>
      <c r="E234" s="1">
        <f>G234+I234+K234+M234</f>
        <v>417598</v>
      </c>
      <c r="F234" s="1">
        <f t="shared" si="78"/>
        <v>287073.04400000005</v>
      </c>
      <c r="G234" s="1">
        <f t="shared" si="78"/>
        <v>241214.6</v>
      </c>
      <c r="H234" s="1">
        <f t="shared" si="78"/>
        <v>3297.5</v>
      </c>
      <c r="I234" s="1">
        <v>0</v>
      </c>
      <c r="J234" s="1">
        <f t="shared" si="78"/>
        <v>139880.1</v>
      </c>
      <c r="K234" s="1">
        <f t="shared" si="78"/>
        <v>133156.6</v>
      </c>
      <c r="L234" s="1">
        <f t="shared" ref="L234:M238" si="80">L24+L66+L87+L150</f>
        <v>43226.8</v>
      </c>
      <c r="M234" s="1">
        <f t="shared" si="80"/>
        <v>43226.8</v>
      </c>
      <c r="N234" s="38"/>
      <c r="O234" s="5"/>
      <c r="P234" s="15"/>
      <c r="Q234" s="15"/>
      <c r="R234" s="15"/>
    </row>
    <row r="235" spans="1:18" s="16" customFormat="1">
      <c r="A235" s="46"/>
      <c r="B235" s="47"/>
      <c r="C235" s="25" t="s">
        <v>15</v>
      </c>
      <c r="D235" s="1">
        <f t="shared" si="79"/>
        <v>539511.64400000009</v>
      </c>
      <c r="E235" s="1">
        <f t="shared" si="79"/>
        <v>484726.4</v>
      </c>
      <c r="F235" s="1">
        <f t="shared" si="78"/>
        <v>287173.04400000005</v>
      </c>
      <c r="G235" s="1">
        <f t="shared" si="78"/>
        <v>241214.6</v>
      </c>
      <c r="H235" s="1">
        <f t="shared" si="78"/>
        <v>3379.25</v>
      </c>
      <c r="I235" s="1">
        <f>I25+I67+I88+I151</f>
        <v>0</v>
      </c>
      <c r="J235" s="1">
        <f t="shared" si="78"/>
        <v>205508.25</v>
      </c>
      <c r="K235" s="1">
        <f t="shared" si="78"/>
        <v>200060.7</v>
      </c>
      <c r="L235" s="1">
        <f t="shared" si="80"/>
        <v>43451.1</v>
      </c>
      <c r="M235" s="1">
        <f t="shared" si="80"/>
        <v>43451.1</v>
      </c>
      <c r="N235" s="38"/>
      <c r="O235" s="5"/>
      <c r="P235" s="15"/>
      <c r="Q235" s="15"/>
    </row>
    <row r="236" spans="1:18" s="16" customFormat="1">
      <c r="A236" s="46"/>
      <c r="B236" s="47"/>
      <c r="C236" s="25" t="s">
        <v>16</v>
      </c>
      <c r="D236" s="1">
        <f t="shared" si="79"/>
        <v>620612.08240000007</v>
      </c>
      <c r="E236" s="1">
        <f t="shared" si="79"/>
        <v>0</v>
      </c>
      <c r="F236" s="1">
        <f t="shared" si="78"/>
        <v>329921.80240000004</v>
      </c>
      <c r="G236" s="1">
        <f t="shared" si="78"/>
        <v>0</v>
      </c>
      <c r="H236" s="1">
        <f t="shared" si="78"/>
        <v>3521.5749999999998</v>
      </c>
      <c r="I236" s="1">
        <f>I26+I68+I89+I152</f>
        <v>0</v>
      </c>
      <c r="J236" s="1">
        <f t="shared" si="78"/>
        <v>243717.60499999998</v>
      </c>
      <c r="K236" s="1">
        <f t="shared" si="78"/>
        <v>0</v>
      </c>
      <c r="L236" s="1">
        <f t="shared" si="80"/>
        <v>43451.1</v>
      </c>
      <c r="M236" s="1">
        <f t="shared" si="80"/>
        <v>0</v>
      </c>
      <c r="N236" s="38"/>
      <c r="O236" s="5"/>
    </row>
    <row r="237" spans="1:18" s="16" customFormat="1">
      <c r="A237" s="46"/>
      <c r="B237" s="47"/>
      <c r="C237" s="25" t="s">
        <v>17</v>
      </c>
      <c r="D237" s="1">
        <f t="shared" si="79"/>
        <v>711821.18744000013</v>
      </c>
      <c r="E237" s="1">
        <f t="shared" si="79"/>
        <v>0</v>
      </c>
      <c r="F237" s="1">
        <f t="shared" si="78"/>
        <v>373537.58944000013</v>
      </c>
      <c r="G237" s="1">
        <f t="shared" si="78"/>
        <v>0</v>
      </c>
      <c r="H237" s="1">
        <f t="shared" si="78"/>
        <v>3626.0125000000003</v>
      </c>
      <c r="I237" s="1">
        <f>I27+I69+I90+I153</f>
        <v>0</v>
      </c>
      <c r="J237" s="1">
        <f t="shared" si="78"/>
        <v>291206.48550000001</v>
      </c>
      <c r="K237" s="1">
        <f t="shared" si="78"/>
        <v>0</v>
      </c>
      <c r="L237" s="1">
        <f t="shared" si="80"/>
        <v>43451.1</v>
      </c>
      <c r="M237" s="1">
        <f t="shared" si="80"/>
        <v>0</v>
      </c>
      <c r="N237" s="38"/>
      <c r="O237" s="5"/>
      <c r="P237" s="15"/>
    </row>
    <row r="238" spans="1:18" s="16" customFormat="1" ht="20.25" customHeight="1">
      <c r="A238" s="46"/>
      <c r="B238" s="47"/>
      <c r="C238" s="25" t="s">
        <v>18</v>
      </c>
      <c r="D238" s="1">
        <f t="shared" si="79"/>
        <v>820975.69554400013</v>
      </c>
      <c r="E238" s="1">
        <f t="shared" si="79"/>
        <v>0</v>
      </c>
      <c r="F238" s="1">
        <f t="shared" si="78"/>
        <v>423928.57854400011</v>
      </c>
      <c r="G238" s="1">
        <f t="shared" si="78"/>
        <v>0</v>
      </c>
      <c r="H238" s="1">
        <f t="shared" si="78"/>
        <v>3894.3497499999999</v>
      </c>
      <c r="I238" s="1">
        <f>I28+I70+I91+I154</f>
        <v>0</v>
      </c>
      <c r="J238" s="1">
        <f t="shared" si="78"/>
        <v>349701.66725</v>
      </c>
      <c r="K238" s="1">
        <f t="shared" si="78"/>
        <v>0</v>
      </c>
      <c r="L238" s="1">
        <f t="shared" si="80"/>
        <v>43451.1</v>
      </c>
      <c r="M238" s="1">
        <f t="shared" si="80"/>
        <v>0</v>
      </c>
      <c r="N238" s="39"/>
      <c r="O238" s="5"/>
    </row>
    <row r="239" spans="1:18" hidden="1">
      <c r="F239" s="29">
        <v>2015</v>
      </c>
      <c r="G239" s="28">
        <f>G233-G86</f>
        <v>138477.54399999999</v>
      </c>
      <c r="J239" s="13">
        <v>2015</v>
      </c>
      <c r="K239" s="28">
        <f>K233-K86</f>
        <v>38791</v>
      </c>
    </row>
    <row r="240" spans="1:18" hidden="1">
      <c r="F240" s="13">
        <v>2016</v>
      </c>
      <c r="G240" s="28">
        <f>G234-G87-155</f>
        <v>137493.30000000002</v>
      </c>
      <c r="J240" s="13">
        <v>2016</v>
      </c>
      <c r="K240" s="28">
        <f>K234-K87</f>
        <v>80860.200000000012</v>
      </c>
    </row>
    <row r="241" spans="6:11" hidden="1">
      <c r="F241" s="13">
        <v>2017</v>
      </c>
      <c r="G241" s="28">
        <f>G235-G88-155</f>
        <v>137493.30000000002</v>
      </c>
      <c r="J241" s="13">
        <v>2017</v>
      </c>
      <c r="K241" s="28">
        <f>K235-K88</f>
        <v>125082.00000000001</v>
      </c>
    </row>
    <row r="242" spans="6:11">
      <c r="F242" s="23"/>
    </row>
    <row r="243" spans="6:11" hidden="1">
      <c r="F243" s="23"/>
      <c r="G243" s="30">
        <f>137962.5+360</f>
        <v>138322.5</v>
      </c>
    </row>
    <row r="244" spans="6:11" hidden="1">
      <c r="G244" s="30">
        <f>G243-G239</f>
        <v>-155.04399999999441</v>
      </c>
    </row>
    <row r="245" spans="6:11" hidden="1">
      <c r="G245" s="30">
        <v>137493.29999999999</v>
      </c>
    </row>
    <row r="246" spans="6:11" hidden="1">
      <c r="G246" s="30">
        <f>G245-G240</f>
        <v>0</v>
      </c>
    </row>
    <row r="247" spans="6:11" hidden="1">
      <c r="G247" s="30">
        <v>137493.29999999999</v>
      </c>
    </row>
    <row r="248" spans="6:11" hidden="1">
      <c r="G248" s="30">
        <f>G247-G241</f>
        <v>0</v>
      </c>
    </row>
  </sheetData>
  <mergeCells count="60">
    <mergeCell ref="A64:A84"/>
    <mergeCell ref="A148:A231"/>
    <mergeCell ref="B176:B182"/>
    <mergeCell ref="B204:B210"/>
    <mergeCell ref="B211:B217"/>
    <mergeCell ref="B197:B203"/>
    <mergeCell ref="B190:B196"/>
    <mergeCell ref="B218:B224"/>
    <mergeCell ref="B92:B98"/>
    <mergeCell ref="B71:B77"/>
    <mergeCell ref="A12:N12"/>
    <mergeCell ref="A19:N19"/>
    <mergeCell ref="A20:N20"/>
    <mergeCell ref="A21:N21"/>
    <mergeCell ref="A15:A17"/>
    <mergeCell ref="B15:B17"/>
    <mergeCell ref="C15:C17"/>
    <mergeCell ref="D15:E16"/>
    <mergeCell ref="F15:M15"/>
    <mergeCell ref="N15:N16"/>
    <mergeCell ref="B43:B49"/>
    <mergeCell ref="B78:B84"/>
    <mergeCell ref="A1:N1"/>
    <mergeCell ref="A2:N2"/>
    <mergeCell ref="A3:N3"/>
    <mergeCell ref="A4:N4"/>
    <mergeCell ref="F16:G16"/>
    <mergeCell ref="H16:I16"/>
    <mergeCell ref="J16:K16"/>
    <mergeCell ref="L16:M16"/>
    <mergeCell ref="B141:B147"/>
    <mergeCell ref="A85:A147"/>
    <mergeCell ref="A10:N10"/>
    <mergeCell ref="K5:N8"/>
    <mergeCell ref="A232:A238"/>
    <mergeCell ref="B232:B238"/>
    <mergeCell ref="B23:B28"/>
    <mergeCell ref="B86:B91"/>
    <mergeCell ref="B149:B154"/>
    <mergeCell ref="B65:B70"/>
    <mergeCell ref="B225:B231"/>
    <mergeCell ref="A22:A63"/>
    <mergeCell ref="N22:N63"/>
    <mergeCell ref="N64:N84"/>
    <mergeCell ref="N85:N147"/>
    <mergeCell ref="N148:N238"/>
    <mergeCell ref="B99:B105"/>
    <mergeCell ref="B106:B112"/>
    <mergeCell ref="B113:B119"/>
    <mergeCell ref="B183:B189"/>
    <mergeCell ref="B29:B35"/>
    <mergeCell ref="B36:B42"/>
    <mergeCell ref="B120:B126"/>
    <mergeCell ref="B162:B168"/>
    <mergeCell ref="B169:B175"/>
    <mergeCell ref="B134:B140"/>
    <mergeCell ref="B127:B133"/>
    <mergeCell ref="B155:B161"/>
    <mergeCell ref="B50:B56"/>
    <mergeCell ref="B57:B63"/>
  </mergeCells>
  <phoneticPr fontId="0" type="noConversion"/>
  <pageMargins left="0.16" right="0.15748031496062992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2015-12-29T02:50:22Z</cp:lastPrinted>
  <dcterms:created xsi:type="dcterms:W3CDTF">2014-06-24T05:35:40Z</dcterms:created>
  <dcterms:modified xsi:type="dcterms:W3CDTF">2016-01-14T05:23:27Z</dcterms:modified>
</cp:coreProperties>
</file>