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'Лист1'!$17:$19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  <author>Шаталина Татьяна Евгеньевна</author>
  </authors>
  <commentList>
    <comment ref="J32" authorId="0">
      <text>
        <r>
          <rPr>
            <b/>
            <sz val="8"/>
            <rFont val="Tahoma"/>
            <family val="2"/>
          </rPr>
          <t>Софинансирование, подали заявку.</t>
        </r>
      </text>
    </comment>
    <comment ref="F109" authorId="0">
      <text>
        <r>
          <rPr>
            <b/>
            <sz val="8"/>
            <rFont val="Tahoma"/>
            <family val="2"/>
          </rPr>
          <t>Для софинансирования 418,0</t>
        </r>
      </text>
    </comment>
    <comment ref="J109" authorId="0">
      <text>
        <r>
          <rPr>
            <b/>
            <sz val="8"/>
            <rFont val="Tahoma"/>
            <family val="2"/>
          </rPr>
          <t xml:space="preserve">Софинансирование, заявку подали.
</t>
        </r>
      </text>
    </comment>
    <comment ref="G221" authorId="1">
      <text>
        <r>
          <rPr>
            <b/>
            <sz val="8"/>
            <rFont val="Tahoma"/>
            <family val="2"/>
          </rPr>
          <t xml:space="preserve">890 фнр к дню победы
</t>
        </r>
      </text>
    </comment>
    <comment ref="F40" authorId="1">
      <text>
        <r>
          <rPr>
            <b/>
            <sz val="8"/>
            <rFont val="Tahoma"/>
            <family val="2"/>
          </rPr>
          <t>Литрес</t>
        </r>
      </text>
    </comment>
    <comment ref="F201" authorId="1">
      <text>
        <r>
          <rPr>
            <b/>
            <sz val="8"/>
            <rFont val="Tahoma"/>
            <family val="2"/>
          </rPr>
          <t xml:space="preserve">доп. Потр 800 участие, пошив кост 500
</t>
        </r>
      </text>
    </comment>
    <comment ref="F173" authorId="1">
      <text>
        <r>
          <rPr>
            <b/>
            <sz val="8"/>
            <rFont val="Tahoma"/>
            <family val="2"/>
          </rPr>
          <t>проектор 300</t>
        </r>
      </text>
    </comment>
    <comment ref="G40" authorId="1">
      <text>
        <r>
          <rPr>
            <b/>
            <sz val="8"/>
            <rFont val="Tahoma"/>
            <family val="2"/>
          </rPr>
          <t>книги 2100+600+300
160 литрес</t>
        </r>
      </text>
    </comment>
  </commentList>
</comments>
</file>

<file path=xl/sharedStrings.xml><?xml version="1.0" encoding="utf-8"?>
<sst xmlns="http://schemas.openxmlformats.org/spreadsheetml/2006/main" count="292" uniqueCount="70">
  <si>
    <t>№</t>
  </si>
  <si>
    <t>Наименования целей, задач, мероприятий муниципальной программы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</si>
  <si>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</si>
  <si>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</si>
  <si>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</si>
  <si>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</si>
  <si>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</si>
  <si>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</si>
  <si>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</si>
  <si>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</si>
  <si>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</si>
  <si>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</si>
  <si>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</si>
  <si>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</si>
  <si>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</si>
  <si>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</si>
  <si>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</si>
  <si>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</si>
  <si>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</si>
  <si>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 xml:space="preserve"> Организация  музейного обслуживания  населения. </t>
  </si>
  <si>
    <t>3.</t>
  </si>
  <si>
    <t>Организация предоставления дополнительного образования художественно-эстетической направленности детям.</t>
  </si>
  <si>
    <t>4.</t>
  </si>
  <si>
    <t>Организация предоставления  культурно- досуговых услуг.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</si>
  <si>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</si>
  <si>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</si>
  <si>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</si>
  <si>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</si>
  <si>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</si>
  <si>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</si>
  <si>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1.3.1. Предоставление дополнительного образования детям</t>
  </si>
  <si>
    <t>1.3.2. Внедрение современных информационных технологий в образовательный процесс (приобретение программного обеспечения, оборудования)</t>
  </si>
  <si>
    <t>1.3.3. Обеспечение муниципальных учреждений дополнительного образования музыкальными инструментами</t>
  </si>
  <si>
    <t>1.3.4. Обеспечение муниципальных учреждений дополнительного образования специальным оборудованием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</si>
  <si>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</si>
  <si>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</si>
  <si>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</si>
  <si>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</si>
  <si>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</si>
  <si>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</si>
  <si>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Объем финансирования (тыс. руб.)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</si>
  <si>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</si>
  <si>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</si>
  <si>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</si>
  <si>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t>1.3.7. Обеспечение пожарной безопасности МОУ ДО</t>
  </si>
  <si>
    <t>Управление культуры администрации Города Томска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</si>
  <si>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</si>
  <si>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</si>
  <si>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1.3.5. Совершенствование системы образовательного процесса (комплектование фонда библиотек  муниципальных образовательных учреждений дополнительного образования (далее -МОУ ДО), электронная каталогизация)</t>
  </si>
  <si>
    <t>1.1.3 .Обеспечение пожарной безопасности муниципальных библиотек</t>
  </si>
  <si>
    <t>1.2.2. Оцифровка и электронная каталогизация музейного фонда Музея истории Томска (приобретение и внедрение комплексной автоматизированной музейной информационной системы, оборудования, оплата услуг по введению данных в систему, создание виртуальных выставок )</t>
  </si>
  <si>
    <t>1.3.6. Развитие и поддержка творческих коллективов, одаренных детей и молодежи  в МОУ ДО (оплата участия в конкурсах и выставках, гастрольные поездки одарённых детей, пошив концертных костюмов, организация концертных программ и выставок)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</si>
  <si>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</si>
  <si>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1.1.4.Организация трудоустройства несовершеннолетних детей в каникулярное время</t>
  </si>
  <si>
    <r>
      <t>Цель: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</t>
    </r>
  </si>
  <si>
    <t xml:space="preserve">Задача 1.1 </t>
  </si>
  <si>
    <t>Задача 1.2.</t>
  </si>
  <si>
    <t>Задача 1.3.</t>
  </si>
  <si>
    <t xml:space="preserve">Задача  1.4. </t>
  </si>
  <si>
    <t>ПЕРЕЧЕНЬ МЕРОПРИЯТИЙ И РЕСУРСНОЕ ОБЕСПЕЧЕНИЕ  ПОДПРОГРАММЫ 1 "РАЗВИТИЕ КУЛЬТУРЫ"</t>
  </si>
  <si>
    <t xml:space="preserve">Итого по Подпрограмме 1 </t>
  </si>
  <si>
    <t>2.</t>
  </si>
  <si>
    <t xml:space="preserve">Приложение 4
к постановлению
администрации Города Томска от    №
</t>
  </si>
  <si>
    <t>дополнительная потребность</t>
  </si>
  <si>
    <t>доп потр</t>
  </si>
  <si>
    <t>из дор. Потр</t>
  </si>
  <si>
    <t>Приложение 2 к Подпрограмме 1 «Развитие культуры» муниципальной программы «Развитие культуры и туризма» муниципального образования «Город Томск» на 2015 - 2020 годы»</t>
  </si>
  <si>
    <t>1.4.4. Приобретение передвижных сценических площадок, навесов, другого оборудования для уличных мероприятий</t>
  </si>
  <si>
    <t>к постановлению администрации</t>
  </si>
  <si>
    <t>Города Томска от 22.03.2016 № 206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</si>
</sst>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</numFmts>
  <fonts count="28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7">
    <xf numFmtId="0" fontId="0" fillId="0" borderId="0" xfId="0" applyAlignment="1">
      <alignment/>
    </xf>
    <xf numFmtId="164" fontId="4" fillId="24" borderId="10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 wrapText="1"/>
    </xf>
    <xf numFmtId="0" fontId="0" fillId="24" borderId="0" xfId="0" applyFont="1" applyFill="1" applyAlignment="1">
      <alignment/>
    </xf>
    <xf numFmtId="0" fontId="4" fillId="24" borderId="11" xfId="0" applyFont="1" applyFill="1" applyBorder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 horizontal="center" vertical="center"/>
    </xf>
    <xf numFmtId="0" fontId="4" fillId="24" borderId="12" xfId="0" applyFont="1" applyFill="1" applyBorder="1" applyAlignment="1">
      <alignment vertical="center" wrapText="1"/>
    </xf>
    <xf numFmtId="164" fontId="5" fillId="24" borderId="0" xfId="0" applyNumberFormat="1" applyFont="1" applyFill="1" applyAlignment="1">
      <alignment/>
    </xf>
    <xf numFmtId="0" fontId="5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164" fontId="2" fillId="24" borderId="13" xfId="0" applyNumberFormat="1" applyFont="1" applyFill="1" applyBorder="1" applyAlignment="1">
      <alignment horizontal="center" vertical="center" wrapText="1"/>
    </xf>
    <xf numFmtId="164" fontId="9" fillId="24" borderId="10" xfId="0" applyNumberFormat="1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left"/>
    </xf>
    <xf numFmtId="0" fontId="0" fillId="24" borderId="0" xfId="0" applyFill="1" applyAlignment="1">
      <alignment vertical="center"/>
    </xf>
    <xf numFmtId="0" fontId="4" fillId="24" borderId="0" xfId="0" applyFont="1" applyFill="1" applyBorder="1" applyAlignment="1">
      <alignment vertical="center" wrapText="1"/>
    </xf>
    <xf numFmtId="164" fontId="0" fillId="24" borderId="0" xfId="0" applyNumberFormat="1" applyFill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0" fontId="4" fillId="24" borderId="10" xfId="0" applyFont="1" applyFill="1" applyBorder="1" applyAlignment="1">
      <alignment horizontal="left" vertical="center" wrapText="1"/>
    </xf>
    <xf numFmtId="164" fontId="5" fillId="24" borderId="10" xfId="0" applyNumberFormat="1" applyFont="1" applyFill="1" applyBorder="1" applyAlignment="1">
      <alignment horizontal="center" vertical="center"/>
    </xf>
    <xf numFmtId="164" fontId="0" fillId="24" borderId="0" xfId="0" applyNumberFormat="1" applyFill="1" applyAlignment="1">
      <alignment/>
    </xf>
    <xf numFmtId="164" fontId="0" fillId="24" borderId="0" xfId="0" applyNumberFormat="1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textRotation="90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center" vertical="center"/>
    </xf>
    <xf numFmtId="0" fontId="2" fillId="24" borderId="15" xfId="0" applyFont="1" applyFill="1" applyBorder="1" applyAlignment="1">
      <alignment horizontal="center" vertical="center" textRotation="90" wrapText="1"/>
    </xf>
    <xf numFmtId="0" fontId="2" fillId="24" borderId="13" xfId="0" applyFont="1" applyFill="1" applyBorder="1" applyAlignment="1">
      <alignment horizontal="center" vertical="center" textRotation="90" wrapText="1"/>
    </xf>
    <xf numFmtId="0" fontId="2" fillId="24" borderId="14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10" fillId="24" borderId="15" xfId="0" applyFont="1" applyFill="1" applyBorder="1" applyAlignment="1">
      <alignment horizontal="left" vertical="center" wrapText="1"/>
    </xf>
    <xf numFmtId="0" fontId="10" fillId="24" borderId="13" xfId="0" applyFont="1" applyFill="1" applyBorder="1" applyAlignment="1">
      <alignment horizontal="left" vertical="center" wrapText="1"/>
    </xf>
    <xf numFmtId="0" fontId="10" fillId="24" borderId="14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right"/>
    </xf>
    <xf numFmtId="0" fontId="2" fillId="24" borderId="0" xfId="0" applyFont="1" applyFill="1" applyAlignment="1">
      <alignment horizontal="center"/>
    </xf>
    <xf numFmtId="0" fontId="0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right"/>
    </xf>
    <xf numFmtId="0" fontId="0" fillId="24" borderId="0" xfId="0" applyFill="1" applyAlignment="1">
      <alignment horizontal="right" vertical="center" wrapText="1"/>
    </xf>
    <xf numFmtId="0" fontId="5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/>
    </xf>
    <xf numFmtId="0" fontId="3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5"/>
  <sheetViews>
    <sheetView tabSelected="1" zoomScalePageLayoutView="0" workbookViewId="0" topLeftCell="A1">
      <selection activeCell="A3" sqref="A3:N3"/>
    </sheetView>
  </sheetViews>
  <sheetFormatPr defaultColWidth="9.00390625" defaultRowHeight="15.75"/>
  <cols>
    <col min="1" max="1" width="3.875" style="6" customWidth="1"/>
    <col min="2" max="2" width="23.625" style="7" customWidth="1"/>
    <col min="3" max="3" width="9.00390625" style="8" customWidth="1"/>
    <col min="4" max="4" width="11.50390625" style="9" customWidth="1"/>
    <col min="5" max="5" width="11.25390625" style="9" customWidth="1"/>
    <col min="6" max="6" width="13.125" style="8" customWidth="1"/>
    <col min="7" max="7" width="10.75390625" style="8" customWidth="1"/>
    <col min="8" max="8" width="9.375" style="8" customWidth="1"/>
    <col min="9" max="9" width="8.875" style="8" customWidth="1"/>
    <col min="10" max="10" width="11.50390625" style="8" customWidth="1"/>
    <col min="11" max="11" width="9.25390625" style="8" bestFit="1" customWidth="1"/>
    <col min="12" max="12" width="9.75390625" style="8" customWidth="1"/>
    <col min="13" max="13" width="10.375" style="8" customWidth="1"/>
    <col min="14" max="14" width="7.625" style="10" customWidth="1"/>
    <col min="15" max="15" width="7.625" style="6" hidden="1" customWidth="1"/>
    <col min="16" max="16" width="11.875" style="6" hidden="1" customWidth="1"/>
    <col min="17" max="17" width="11.625" style="6" hidden="1" customWidth="1"/>
    <col min="18" max="18" width="10.625" style="6" hidden="1" customWidth="1"/>
    <col min="19" max="19" width="12.00390625" style="6" hidden="1" customWidth="1"/>
    <col min="20" max="16384" width="9.00390625" style="6" customWidth="1"/>
  </cols>
  <sheetData>
    <row r="1" spans="1:14" ht="15.75">
      <c r="A1" s="60" t="s">
        <v>62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5.75">
      <c r="A2" s="61" t="s">
        <v>68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5.75">
      <c r="A3" s="61" t="s">
        <v>69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5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5.75">
      <c r="A5" s="4"/>
      <c r="K5" s="62" t="s">
        <v>66</v>
      </c>
      <c r="L5" s="62"/>
      <c r="M5" s="62"/>
      <c r="N5" s="62"/>
    </row>
    <row r="6" spans="1:14" ht="15.75">
      <c r="A6" s="4"/>
      <c r="K6" s="62"/>
      <c r="L6" s="62"/>
      <c r="M6" s="62"/>
      <c r="N6" s="62"/>
    </row>
    <row r="7" spans="1:14" ht="15.75">
      <c r="A7" s="4"/>
      <c r="K7" s="62"/>
      <c r="L7" s="62"/>
      <c r="M7" s="62"/>
      <c r="N7" s="62"/>
    </row>
    <row r="8" spans="1:14" ht="40.5" customHeight="1">
      <c r="A8" s="4"/>
      <c r="K8" s="62"/>
      <c r="L8" s="62"/>
      <c r="M8" s="62"/>
      <c r="N8" s="62"/>
    </row>
    <row r="9" spans="1:14" ht="15.7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ht="15.75">
      <c r="A10" s="4"/>
    </row>
    <row r="11" ht="15.75">
      <c r="A11" s="26"/>
    </row>
    <row r="12" spans="1:14" ht="15.75">
      <c r="A12" s="59" t="s">
        <v>59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  <row r="13" ht="15.75">
      <c r="A13" s="26"/>
    </row>
    <row r="14" spans="1:14" ht="18.75" hidden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</row>
    <row r="15" ht="15.75">
      <c r="A15" s="26"/>
    </row>
    <row r="16" ht="13.5" customHeight="1">
      <c r="A16" s="26"/>
    </row>
    <row r="17" spans="1:15" ht="25.5" customHeight="1">
      <c r="A17" s="66" t="s">
        <v>0</v>
      </c>
      <c r="B17" s="41" t="s">
        <v>1</v>
      </c>
      <c r="C17" s="66" t="s">
        <v>2</v>
      </c>
      <c r="D17" s="39" t="s">
        <v>40</v>
      </c>
      <c r="E17" s="39"/>
      <c r="F17" s="66" t="s">
        <v>3</v>
      </c>
      <c r="G17" s="66"/>
      <c r="H17" s="66"/>
      <c r="I17" s="66"/>
      <c r="J17" s="66"/>
      <c r="K17" s="66"/>
      <c r="L17" s="66"/>
      <c r="M17" s="66"/>
      <c r="N17" s="66" t="s">
        <v>4</v>
      </c>
      <c r="O17" s="11"/>
    </row>
    <row r="18" spans="1:15" ht="20.25" customHeight="1">
      <c r="A18" s="66"/>
      <c r="B18" s="42"/>
      <c r="C18" s="66"/>
      <c r="D18" s="39"/>
      <c r="E18" s="39"/>
      <c r="F18" s="66" t="s">
        <v>5</v>
      </c>
      <c r="G18" s="66"/>
      <c r="H18" s="66" t="s">
        <v>6</v>
      </c>
      <c r="I18" s="66"/>
      <c r="J18" s="66" t="s">
        <v>7</v>
      </c>
      <c r="K18" s="66"/>
      <c r="L18" s="66" t="s">
        <v>8</v>
      </c>
      <c r="M18" s="66"/>
      <c r="N18" s="66"/>
      <c r="O18" s="11"/>
    </row>
    <row r="19" spans="1:15" s="4" customFormat="1" ht="25.5">
      <c r="A19" s="66"/>
      <c r="B19" s="43"/>
      <c r="C19" s="66"/>
      <c r="D19" s="24" t="s">
        <v>9</v>
      </c>
      <c r="E19" s="24" t="s">
        <v>10</v>
      </c>
      <c r="F19" s="24" t="s">
        <v>9</v>
      </c>
      <c r="G19" s="24" t="s">
        <v>10</v>
      </c>
      <c r="H19" s="24" t="s">
        <v>9</v>
      </c>
      <c r="I19" s="24" t="s">
        <v>10</v>
      </c>
      <c r="J19" s="24" t="s">
        <v>9</v>
      </c>
      <c r="K19" s="24" t="s">
        <v>10</v>
      </c>
      <c r="L19" s="24" t="s">
        <v>9</v>
      </c>
      <c r="M19" s="24" t="s">
        <v>10</v>
      </c>
      <c r="N19" s="24"/>
      <c r="O19" s="12"/>
    </row>
    <row r="20" spans="1:15" s="8" customFormat="1" ht="15.75">
      <c r="A20" s="24">
        <v>1</v>
      </c>
      <c r="B20" s="24">
        <v>2</v>
      </c>
      <c r="C20" s="24">
        <v>3</v>
      </c>
      <c r="D20" s="25">
        <v>4</v>
      </c>
      <c r="E20" s="25">
        <v>5</v>
      </c>
      <c r="F20" s="24">
        <v>6</v>
      </c>
      <c r="G20" s="24">
        <v>7</v>
      </c>
      <c r="H20" s="24">
        <v>8</v>
      </c>
      <c r="I20" s="24">
        <v>9</v>
      </c>
      <c r="J20" s="24">
        <v>10</v>
      </c>
      <c r="K20" s="24">
        <v>11</v>
      </c>
      <c r="L20" s="24">
        <v>12</v>
      </c>
      <c r="M20" s="24">
        <v>13</v>
      </c>
      <c r="N20" s="24">
        <v>14</v>
      </c>
      <c r="O20" s="13"/>
    </row>
    <row r="21" spans="1:15" ht="19.5" customHeight="1">
      <c r="A21" s="65" t="s">
        <v>54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11"/>
    </row>
    <row r="22" spans="1:15" ht="16.5" customHeight="1" hidden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11"/>
    </row>
    <row r="23" spans="1:15" ht="16.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11"/>
    </row>
    <row r="24" spans="1:19" s="16" customFormat="1" ht="15.75" customHeight="1">
      <c r="A24" s="41" t="s">
        <v>29</v>
      </c>
      <c r="B24" s="27" t="s">
        <v>55</v>
      </c>
      <c r="C24" s="25" t="s">
        <v>12</v>
      </c>
      <c r="D24" s="1">
        <f aca="true" t="shared" si="0" ref="D24:M24">SUM(D25:D30)</f>
        <v>777566.5957</v>
      </c>
      <c r="E24" s="1">
        <f t="shared" si="0"/>
        <v>349937.4</v>
      </c>
      <c r="F24" s="1">
        <f t="shared" si="0"/>
        <v>396048.36</v>
      </c>
      <c r="G24" s="1">
        <f t="shared" si="0"/>
        <v>219051.5</v>
      </c>
      <c r="H24" s="1">
        <f t="shared" si="0"/>
        <v>4050.6952500000007</v>
      </c>
      <c r="I24" s="1">
        <f t="shared" si="0"/>
        <v>0</v>
      </c>
      <c r="J24" s="1">
        <f t="shared" si="0"/>
        <v>369438.04045000003</v>
      </c>
      <c r="K24" s="1">
        <f t="shared" si="0"/>
        <v>125632</v>
      </c>
      <c r="L24" s="1">
        <f t="shared" si="0"/>
        <v>8029.500000000001</v>
      </c>
      <c r="M24" s="1">
        <f t="shared" si="0"/>
        <v>5253.900000000001</v>
      </c>
      <c r="N24" s="36" t="s">
        <v>45</v>
      </c>
      <c r="O24" s="14"/>
      <c r="P24" s="15"/>
      <c r="Q24" s="15"/>
      <c r="S24" s="15"/>
    </row>
    <row r="25" spans="1:19" s="16" customFormat="1" ht="15.75" customHeight="1">
      <c r="A25" s="42"/>
      <c r="B25" s="40" t="s">
        <v>11</v>
      </c>
      <c r="C25" s="25" t="s">
        <v>13</v>
      </c>
      <c r="D25" s="1">
        <f aca="true" t="shared" si="1" ref="D25:E30">F25+H25+J25+L25</f>
        <v>94910.1</v>
      </c>
      <c r="E25" s="1">
        <f t="shared" si="1"/>
        <v>73906</v>
      </c>
      <c r="F25" s="1">
        <f>F32+F39+F53+F60</f>
        <v>71330.3</v>
      </c>
      <c r="G25" s="1">
        <f>G32+G39+G53+G60</f>
        <v>53230.2</v>
      </c>
      <c r="H25" s="1">
        <f aca="true" t="shared" si="2" ref="H25:K30">H32+H39+H53</f>
        <v>525</v>
      </c>
      <c r="I25" s="1">
        <f t="shared" si="2"/>
        <v>0</v>
      </c>
      <c r="J25" s="1">
        <f>J32+J39+J53</f>
        <v>21964.3</v>
      </c>
      <c r="K25" s="1">
        <f>K32+K39+K53</f>
        <v>19585.3</v>
      </c>
      <c r="L25" s="1">
        <f aca="true" t="shared" si="3" ref="L25:M30">L32+L39+L53</f>
        <v>1090.5</v>
      </c>
      <c r="M25" s="1">
        <f t="shared" si="3"/>
        <v>1090.5</v>
      </c>
      <c r="N25" s="37"/>
      <c r="O25" s="5"/>
      <c r="P25" s="15">
        <f>G25+G67+G151</f>
        <v>138477.5</v>
      </c>
      <c r="Q25" s="15">
        <f>K25+K67+K151</f>
        <v>38791</v>
      </c>
      <c r="R25" s="16">
        <v>142998.6</v>
      </c>
      <c r="S25" s="15">
        <f>P25-R25</f>
        <v>-4521.100000000006</v>
      </c>
    </row>
    <row r="26" spans="1:17" s="16" customFormat="1" ht="15.75">
      <c r="A26" s="42"/>
      <c r="B26" s="40"/>
      <c r="C26" s="25" t="s">
        <v>14</v>
      </c>
      <c r="D26" s="1">
        <f t="shared" si="1"/>
        <v>107343.58</v>
      </c>
      <c r="E26" s="1">
        <f t="shared" si="1"/>
        <v>99778.50000000001</v>
      </c>
      <c r="F26" s="1">
        <f>F33+F40+F54+F61</f>
        <v>61762.18</v>
      </c>
      <c r="G26" s="1">
        <f>G33+G40+G54+G61</f>
        <v>56927.1</v>
      </c>
      <c r="H26" s="1">
        <f t="shared" si="2"/>
        <v>577.5</v>
      </c>
      <c r="I26" s="1">
        <f t="shared" si="2"/>
        <v>0</v>
      </c>
      <c r="J26" s="1">
        <f t="shared" si="2"/>
        <v>43616.100000000006</v>
      </c>
      <c r="K26" s="1">
        <f t="shared" si="2"/>
        <v>41463.600000000006</v>
      </c>
      <c r="L26" s="1">
        <f t="shared" si="3"/>
        <v>1387.8</v>
      </c>
      <c r="M26" s="1">
        <f t="shared" si="3"/>
        <v>1387.8</v>
      </c>
      <c r="N26" s="37"/>
      <c r="O26" s="5"/>
      <c r="P26" s="15">
        <f>F26-G26</f>
        <v>4835.080000000002</v>
      </c>
      <c r="Q26" s="15">
        <v>40371.2</v>
      </c>
    </row>
    <row r="27" spans="1:17" s="16" customFormat="1" ht="15.75">
      <c r="A27" s="42"/>
      <c r="B27" s="40"/>
      <c r="C27" s="25" t="s">
        <v>15</v>
      </c>
      <c r="D27" s="1">
        <f t="shared" si="1"/>
        <v>127157.68000000001</v>
      </c>
      <c r="E27" s="1">
        <f t="shared" si="1"/>
        <v>120798</v>
      </c>
      <c r="F27" s="1">
        <f aca="true" t="shared" si="4" ref="F27:G30">F34+F41+F55+F62</f>
        <v>59662.18</v>
      </c>
      <c r="G27" s="1">
        <f t="shared" si="4"/>
        <v>54827.1</v>
      </c>
      <c r="H27" s="1">
        <f t="shared" si="2"/>
        <v>635.25</v>
      </c>
      <c r="I27" s="1">
        <f t="shared" si="2"/>
        <v>0</v>
      </c>
      <c r="J27" s="1">
        <f t="shared" si="2"/>
        <v>65472.45</v>
      </c>
      <c r="K27" s="1">
        <f t="shared" si="2"/>
        <v>64583.1</v>
      </c>
      <c r="L27" s="1">
        <f t="shared" si="3"/>
        <v>1387.8</v>
      </c>
      <c r="M27" s="1">
        <f t="shared" si="3"/>
        <v>1387.8</v>
      </c>
      <c r="N27" s="37"/>
      <c r="O27" s="5"/>
      <c r="P27" s="15">
        <f>F27-G27</f>
        <v>4835.080000000002</v>
      </c>
      <c r="Q27" s="15">
        <f>Q26-Q25</f>
        <v>1580.199999999997</v>
      </c>
    </row>
    <row r="28" spans="1:16" s="16" customFormat="1" ht="15.75">
      <c r="A28" s="42"/>
      <c r="B28" s="40"/>
      <c r="C28" s="25" t="s">
        <v>16</v>
      </c>
      <c r="D28" s="1">
        <f t="shared" si="1"/>
        <v>133008.45</v>
      </c>
      <c r="E28" s="1">
        <f t="shared" si="1"/>
        <v>55454.9</v>
      </c>
      <c r="F28" s="1">
        <f t="shared" si="4"/>
        <v>58902.18</v>
      </c>
      <c r="G28" s="1">
        <f t="shared" si="4"/>
        <v>54067.1</v>
      </c>
      <c r="H28" s="1">
        <f t="shared" si="2"/>
        <v>698.7750000000001</v>
      </c>
      <c r="I28" s="1">
        <f t="shared" si="2"/>
        <v>0</v>
      </c>
      <c r="J28" s="1">
        <f t="shared" si="2"/>
        <v>72019.695</v>
      </c>
      <c r="K28" s="1">
        <f t="shared" si="2"/>
        <v>0</v>
      </c>
      <c r="L28" s="1">
        <f t="shared" si="3"/>
        <v>1387.8</v>
      </c>
      <c r="M28" s="1">
        <f t="shared" si="3"/>
        <v>1387.8</v>
      </c>
      <c r="N28" s="37"/>
      <c r="O28" s="5"/>
      <c r="P28" s="15">
        <f>F28-G28</f>
        <v>4835.080000000002</v>
      </c>
    </row>
    <row r="29" spans="1:19" s="16" customFormat="1" ht="15.75">
      <c r="A29" s="42"/>
      <c r="B29" s="40"/>
      <c r="C29" s="25" t="s">
        <v>17</v>
      </c>
      <c r="D29" s="1">
        <f t="shared" si="1"/>
        <v>147135.637</v>
      </c>
      <c r="E29" s="1">
        <f t="shared" si="1"/>
        <v>0</v>
      </c>
      <c r="F29" s="1">
        <f t="shared" si="4"/>
        <v>65757.51999999999</v>
      </c>
      <c r="G29" s="1">
        <f t="shared" si="4"/>
        <v>0</v>
      </c>
      <c r="H29" s="1">
        <f t="shared" si="2"/>
        <v>768.6525000000001</v>
      </c>
      <c r="I29" s="1">
        <f t="shared" si="2"/>
        <v>0</v>
      </c>
      <c r="J29" s="1">
        <f t="shared" si="2"/>
        <v>79221.66450000001</v>
      </c>
      <c r="K29" s="1">
        <f t="shared" si="2"/>
        <v>0</v>
      </c>
      <c r="L29" s="1">
        <f t="shared" si="3"/>
        <v>1387.8</v>
      </c>
      <c r="M29" s="1">
        <f t="shared" si="3"/>
        <v>0</v>
      </c>
      <c r="N29" s="37"/>
      <c r="O29" s="5"/>
      <c r="P29" s="28">
        <f>G26+G68+G152</f>
        <v>144275.2</v>
      </c>
      <c r="Q29" s="28">
        <v>144120.2</v>
      </c>
      <c r="R29" s="28">
        <f>Q29-P29</f>
        <v>-155</v>
      </c>
      <c r="S29" s="15">
        <f>K26+K68+K152</f>
        <v>80860.20000000001</v>
      </c>
    </row>
    <row r="30" spans="1:19" s="16" customFormat="1" ht="15.75">
      <c r="A30" s="42"/>
      <c r="B30" s="40"/>
      <c r="C30" s="25" t="s">
        <v>18</v>
      </c>
      <c r="D30" s="1">
        <f t="shared" si="1"/>
        <v>168011.14870000002</v>
      </c>
      <c r="E30" s="1">
        <f t="shared" si="1"/>
        <v>0</v>
      </c>
      <c r="F30" s="1">
        <f t="shared" si="4"/>
        <v>78634</v>
      </c>
      <c r="G30" s="1">
        <f t="shared" si="4"/>
        <v>0</v>
      </c>
      <c r="H30" s="1">
        <f t="shared" si="2"/>
        <v>845.5177500000002</v>
      </c>
      <c r="I30" s="1">
        <f t="shared" si="2"/>
        <v>0</v>
      </c>
      <c r="J30" s="1">
        <f t="shared" si="2"/>
        <v>87143.83095000002</v>
      </c>
      <c r="K30" s="1">
        <f t="shared" si="2"/>
        <v>0</v>
      </c>
      <c r="L30" s="1">
        <f t="shared" si="3"/>
        <v>1387.8</v>
      </c>
      <c r="M30" s="1">
        <f t="shared" si="3"/>
        <v>0</v>
      </c>
      <c r="N30" s="37"/>
      <c r="O30" s="5"/>
      <c r="P30" s="28">
        <f>G27+G69+G153</f>
        <v>142175.2</v>
      </c>
      <c r="Q30" s="28">
        <v>142020.2</v>
      </c>
      <c r="R30" s="28">
        <f>Q30-P30</f>
        <v>-155</v>
      </c>
      <c r="S30" s="15">
        <f>K27+K69+K153</f>
        <v>125082</v>
      </c>
    </row>
    <row r="31" spans="1:19" s="17" customFormat="1" ht="15.75" customHeight="1">
      <c r="A31" s="42"/>
      <c r="B31" s="34" t="s">
        <v>26</v>
      </c>
      <c r="C31" s="24" t="s">
        <v>12</v>
      </c>
      <c r="D31" s="1">
        <f>SUM(D32:D37)</f>
        <v>754856.9271</v>
      </c>
      <c r="E31" s="1">
        <f aca="true" t="shared" si="5" ref="E31:M31">SUM(E32:E37)</f>
        <v>344897.4</v>
      </c>
      <c r="F31" s="2">
        <f t="shared" si="5"/>
        <v>383220.36</v>
      </c>
      <c r="G31" s="2">
        <f t="shared" si="5"/>
        <v>214171.5</v>
      </c>
      <c r="H31" s="2">
        <f t="shared" si="5"/>
        <v>0</v>
      </c>
      <c r="I31" s="2">
        <f t="shared" si="5"/>
        <v>0</v>
      </c>
      <c r="J31" s="2">
        <f>SUM(J32:J37)</f>
        <v>363767.06710000004</v>
      </c>
      <c r="K31" s="2">
        <f t="shared" si="5"/>
        <v>125632</v>
      </c>
      <c r="L31" s="2">
        <f t="shared" si="5"/>
        <v>7869.500000000001</v>
      </c>
      <c r="M31" s="2">
        <f t="shared" si="5"/>
        <v>5093.900000000001</v>
      </c>
      <c r="N31" s="37"/>
      <c r="O31" s="5"/>
      <c r="P31" s="28">
        <f>G28+G70+G154</f>
        <v>141415.2</v>
      </c>
      <c r="Q31" s="28">
        <v>141260.2</v>
      </c>
      <c r="R31" s="28">
        <f>Q31-P31</f>
        <v>-155</v>
      </c>
      <c r="S31" s="15">
        <f>K28+K70+K154</f>
        <v>0</v>
      </c>
    </row>
    <row r="32" spans="1:15" ht="15.75">
      <c r="A32" s="42"/>
      <c r="B32" s="34"/>
      <c r="C32" s="24" t="s">
        <v>13</v>
      </c>
      <c r="D32" s="1">
        <f aca="true" t="shared" si="6" ref="D32:E37">F32+H32+J32+L32</f>
        <v>91017.1</v>
      </c>
      <c r="E32" s="1">
        <f t="shared" si="6"/>
        <v>73591</v>
      </c>
      <c r="F32" s="2">
        <f>17212+G32-1400-29.9</f>
        <v>68857.3</v>
      </c>
      <c r="G32" s="2">
        <v>53075.2</v>
      </c>
      <c r="H32" s="2">
        <v>0</v>
      </c>
      <c r="I32" s="2">
        <v>0</v>
      </c>
      <c r="J32" s="2">
        <f>1644+K32</f>
        <v>21229.3</v>
      </c>
      <c r="K32" s="2">
        <v>19585.3</v>
      </c>
      <c r="L32" s="2">
        <v>930.5</v>
      </c>
      <c r="M32" s="2">
        <f>L32</f>
        <v>930.5</v>
      </c>
      <c r="N32" s="37"/>
      <c r="O32" s="5"/>
    </row>
    <row r="33" spans="1:16" ht="15.75">
      <c r="A33" s="42"/>
      <c r="B33" s="34"/>
      <c r="C33" s="24" t="s">
        <v>14</v>
      </c>
      <c r="D33" s="1">
        <f t="shared" si="6"/>
        <v>101422.58</v>
      </c>
      <c r="E33" s="1">
        <f t="shared" si="6"/>
        <v>96203.50000000001</v>
      </c>
      <c r="F33" s="2">
        <f>G33+650.58+892.5+250+300+900+552+330</f>
        <v>57227.18</v>
      </c>
      <c r="G33" s="2">
        <f>53506.1+906-G40+2100</f>
        <v>53352.1</v>
      </c>
      <c r="H33" s="2">
        <v>0</v>
      </c>
      <c r="I33" s="2">
        <v>0</v>
      </c>
      <c r="J33" s="2">
        <f>1344+K33</f>
        <v>42807.600000000006</v>
      </c>
      <c r="K33" s="2">
        <f>41442.3+21.3</f>
        <v>41463.600000000006</v>
      </c>
      <c r="L33" s="2">
        <v>1387.8</v>
      </c>
      <c r="M33" s="2">
        <f>L33</f>
        <v>1387.8</v>
      </c>
      <c r="N33" s="37"/>
      <c r="O33" s="5"/>
      <c r="P33" s="29">
        <f>F33-G33</f>
        <v>3875.0800000000017</v>
      </c>
    </row>
    <row r="34" spans="1:16" ht="15.75">
      <c r="A34" s="42"/>
      <c r="B34" s="34"/>
      <c r="C34" s="24" t="s">
        <v>15</v>
      </c>
      <c r="D34" s="1">
        <f t="shared" si="6"/>
        <v>124098.08</v>
      </c>
      <c r="E34" s="1">
        <f t="shared" si="6"/>
        <v>120223</v>
      </c>
      <c r="F34" s="2">
        <f>G34+650.58+892.5+250+300+900+552+330</f>
        <v>58127.18</v>
      </c>
      <c r="G34" s="2">
        <f>53506.1+906-G41</f>
        <v>54252.1</v>
      </c>
      <c r="H34" s="2">
        <v>0</v>
      </c>
      <c r="I34" s="2">
        <v>0</v>
      </c>
      <c r="J34" s="2">
        <f>K34</f>
        <v>64583.1</v>
      </c>
      <c r="K34" s="2">
        <f>64538.1+45</f>
        <v>64583.1</v>
      </c>
      <c r="L34" s="2">
        <v>1387.8</v>
      </c>
      <c r="M34" s="2">
        <f>L34</f>
        <v>1387.8</v>
      </c>
      <c r="N34" s="37"/>
      <c r="O34" s="5"/>
      <c r="P34" s="29">
        <f>F34-G34</f>
        <v>3875.0800000000017</v>
      </c>
    </row>
    <row r="35" spans="1:16" ht="15.75">
      <c r="A35" s="42"/>
      <c r="B35" s="34"/>
      <c r="C35" s="24" t="s">
        <v>16</v>
      </c>
      <c r="D35" s="1">
        <f t="shared" si="6"/>
        <v>129796.39</v>
      </c>
      <c r="E35" s="1">
        <f t="shared" si="6"/>
        <v>54879.9</v>
      </c>
      <c r="F35" s="2">
        <f>G35+650.58+892.5+250+300+900+552+330</f>
        <v>57367.18</v>
      </c>
      <c r="G35" s="2">
        <f>53346.1+306-G42</f>
        <v>53492.1</v>
      </c>
      <c r="H35" s="2">
        <v>0</v>
      </c>
      <c r="I35" s="2">
        <v>0</v>
      </c>
      <c r="J35" s="2">
        <f>1.1*J34</f>
        <v>71041.41</v>
      </c>
      <c r="K35" s="2">
        <v>0</v>
      </c>
      <c r="L35" s="2">
        <v>1387.8</v>
      </c>
      <c r="M35" s="2">
        <f>L35</f>
        <v>1387.8</v>
      </c>
      <c r="N35" s="37"/>
      <c r="O35" s="5"/>
      <c r="P35" s="29">
        <f>F35-G35</f>
        <v>3875.0800000000017</v>
      </c>
    </row>
    <row r="36" spans="1:15" ht="15.75">
      <c r="A36" s="42"/>
      <c r="B36" s="34"/>
      <c r="C36" s="24" t="s">
        <v>17</v>
      </c>
      <c r="D36" s="1">
        <f t="shared" si="6"/>
        <v>143915.87099999998</v>
      </c>
      <c r="E36" s="1">
        <f t="shared" si="6"/>
        <v>0</v>
      </c>
      <c r="F36" s="2">
        <f>53652.1*1.2</f>
        <v>64382.52</v>
      </c>
      <c r="G36" s="2">
        <v>0</v>
      </c>
      <c r="H36" s="2">
        <v>0</v>
      </c>
      <c r="I36" s="2">
        <v>0</v>
      </c>
      <c r="J36" s="2">
        <f>1.1*J35</f>
        <v>78145.551</v>
      </c>
      <c r="K36" s="2">
        <v>0</v>
      </c>
      <c r="L36" s="2">
        <v>1387.8</v>
      </c>
      <c r="M36" s="2">
        <v>0</v>
      </c>
      <c r="N36" s="37"/>
      <c r="O36" s="5"/>
    </row>
    <row r="37" spans="1:15" ht="15.75">
      <c r="A37" s="42"/>
      <c r="B37" s="34"/>
      <c r="C37" s="24" t="s">
        <v>18</v>
      </c>
      <c r="D37" s="1">
        <f t="shared" si="6"/>
        <v>164606.90610000002</v>
      </c>
      <c r="E37" s="1">
        <f t="shared" si="6"/>
        <v>0</v>
      </c>
      <c r="F37" s="2">
        <f>64382.5*1.2</f>
        <v>77259</v>
      </c>
      <c r="G37" s="2">
        <v>0</v>
      </c>
      <c r="H37" s="2">
        <v>0</v>
      </c>
      <c r="I37" s="2">
        <v>0</v>
      </c>
      <c r="J37" s="2">
        <f>1.1*J36</f>
        <v>85960.10610000002</v>
      </c>
      <c r="K37" s="2">
        <v>0</v>
      </c>
      <c r="L37" s="2">
        <v>1387.8</v>
      </c>
      <c r="M37" s="2">
        <v>0</v>
      </c>
      <c r="N37" s="37"/>
      <c r="O37" s="5"/>
    </row>
    <row r="38" spans="1:15" s="4" customFormat="1" ht="15.75" customHeight="1">
      <c r="A38" s="42"/>
      <c r="B38" s="34" t="s">
        <v>27</v>
      </c>
      <c r="C38" s="24" t="s">
        <v>12</v>
      </c>
      <c r="D38" s="1">
        <f>SUM(D39:D44)</f>
        <v>15339.6686</v>
      </c>
      <c r="E38" s="1">
        <f aca="true" t="shared" si="7" ref="E38:K38">SUM(E39:E44)</f>
        <v>3560</v>
      </c>
      <c r="F38" s="2">
        <f t="shared" si="7"/>
        <v>5538</v>
      </c>
      <c r="G38" s="2">
        <f t="shared" si="7"/>
        <v>3480</v>
      </c>
      <c r="H38" s="2">
        <f t="shared" si="7"/>
        <v>4050.6952500000007</v>
      </c>
      <c r="I38" s="2">
        <f t="shared" si="7"/>
        <v>0</v>
      </c>
      <c r="J38" s="2">
        <f t="shared" si="7"/>
        <v>5670.973350000002</v>
      </c>
      <c r="K38" s="2">
        <f t="shared" si="7"/>
        <v>0</v>
      </c>
      <c r="L38" s="2">
        <f>SUM(L39:L44)</f>
        <v>80</v>
      </c>
      <c r="M38" s="2">
        <f>SUM(M39:M44)</f>
        <v>80</v>
      </c>
      <c r="N38" s="37"/>
      <c r="O38" s="5"/>
    </row>
    <row r="39" spans="1:15" ht="15.75">
      <c r="A39" s="42"/>
      <c r="B39" s="34"/>
      <c r="C39" s="24" t="s">
        <v>13</v>
      </c>
      <c r="D39" s="1">
        <f aca="true" t="shared" si="8" ref="D39:E44">F39+H39+J39+L39</f>
        <v>3398</v>
      </c>
      <c r="E39" s="1">
        <f t="shared" si="8"/>
        <v>80</v>
      </c>
      <c r="F39" s="2">
        <v>2058</v>
      </c>
      <c r="G39" s="2">
        <v>0</v>
      </c>
      <c r="H39" s="2">
        <v>525</v>
      </c>
      <c r="I39" s="2"/>
      <c r="J39" s="2">
        <f>735</f>
        <v>735</v>
      </c>
      <c r="K39" s="2">
        <v>0</v>
      </c>
      <c r="L39" s="2">
        <v>80</v>
      </c>
      <c r="M39" s="2">
        <f>L39</f>
        <v>80</v>
      </c>
      <c r="N39" s="37"/>
      <c r="O39" s="5"/>
    </row>
    <row r="40" spans="1:15" ht="15.75">
      <c r="A40" s="42"/>
      <c r="B40" s="34"/>
      <c r="C40" s="24" t="s">
        <v>14</v>
      </c>
      <c r="D40" s="1">
        <f t="shared" si="8"/>
        <v>4546</v>
      </c>
      <c r="E40" s="1">
        <f t="shared" si="8"/>
        <v>3160</v>
      </c>
      <c r="F40" s="2">
        <f>G40</f>
        <v>3160</v>
      </c>
      <c r="G40" s="2">
        <f>160+2100+600+300</f>
        <v>3160</v>
      </c>
      <c r="H40" s="2">
        <f>1.1*H39</f>
        <v>577.5</v>
      </c>
      <c r="I40" s="2"/>
      <c r="J40" s="2">
        <f>1.1*J39</f>
        <v>808.5000000000001</v>
      </c>
      <c r="K40" s="2">
        <v>0</v>
      </c>
      <c r="L40" s="2">
        <v>0</v>
      </c>
      <c r="M40" s="2">
        <v>0</v>
      </c>
      <c r="N40" s="37"/>
      <c r="O40" s="5"/>
    </row>
    <row r="41" spans="1:15" ht="15.75">
      <c r="A41" s="42"/>
      <c r="B41" s="34"/>
      <c r="C41" s="24" t="s">
        <v>15</v>
      </c>
      <c r="D41" s="1">
        <f t="shared" si="8"/>
        <v>1684.6000000000004</v>
      </c>
      <c r="E41" s="1">
        <f t="shared" si="8"/>
        <v>160</v>
      </c>
      <c r="F41" s="2">
        <f>G41</f>
        <v>160</v>
      </c>
      <c r="G41" s="2">
        <v>160</v>
      </c>
      <c r="H41" s="2">
        <f>1.1*H40</f>
        <v>635.25</v>
      </c>
      <c r="I41" s="2">
        <v>0</v>
      </c>
      <c r="J41" s="2">
        <f>1.1*J40</f>
        <v>889.3500000000003</v>
      </c>
      <c r="K41" s="2">
        <v>0</v>
      </c>
      <c r="L41" s="2">
        <v>0</v>
      </c>
      <c r="M41" s="2">
        <v>0</v>
      </c>
      <c r="N41" s="37"/>
      <c r="O41" s="5"/>
    </row>
    <row r="42" spans="1:15" ht="15.75">
      <c r="A42" s="42"/>
      <c r="B42" s="34"/>
      <c r="C42" s="24" t="s">
        <v>16</v>
      </c>
      <c r="D42" s="1">
        <f t="shared" si="8"/>
        <v>1837.0600000000004</v>
      </c>
      <c r="E42" s="1">
        <f t="shared" si="8"/>
        <v>160</v>
      </c>
      <c r="F42" s="2">
        <f>G42</f>
        <v>160</v>
      </c>
      <c r="G42" s="2">
        <v>160</v>
      </c>
      <c r="H42" s="2">
        <f>1.1*H41</f>
        <v>698.7750000000001</v>
      </c>
      <c r="I42" s="2"/>
      <c r="J42" s="2">
        <f>1.1*J41</f>
        <v>978.2850000000003</v>
      </c>
      <c r="K42" s="2">
        <v>0</v>
      </c>
      <c r="L42" s="2">
        <v>0</v>
      </c>
      <c r="M42" s="2">
        <v>0</v>
      </c>
      <c r="N42" s="37"/>
      <c r="O42" s="5"/>
    </row>
    <row r="43" spans="1:15" ht="15.75">
      <c r="A43" s="42"/>
      <c r="B43" s="34"/>
      <c r="C43" s="24" t="s">
        <v>17</v>
      </c>
      <c r="D43" s="1">
        <f t="shared" si="8"/>
        <v>1844.7660000000005</v>
      </c>
      <c r="E43" s="1">
        <f t="shared" si="8"/>
        <v>0</v>
      </c>
      <c r="F43" s="2">
        <f>G43</f>
        <v>0</v>
      </c>
      <c r="G43" s="2">
        <v>0</v>
      </c>
      <c r="H43" s="2">
        <f>1.1*H42</f>
        <v>768.6525000000001</v>
      </c>
      <c r="I43" s="2">
        <v>0</v>
      </c>
      <c r="J43" s="2">
        <f>1.1*J42</f>
        <v>1076.1135000000004</v>
      </c>
      <c r="K43" s="2">
        <v>0</v>
      </c>
      <c r="L43" s="2">
        <v>0</v>
      </c>
      <c r="M43" s="2">
        <v>0</v>
      </c>
      <c r="N43" s="37"/>
      <c r="O43" s="5"/>
    </row>
    <row r="44" spans="1:15" ht="15.75">
      <c r="A44" s="42"/>
      <c r="B44" s="34"/>
      <c r="C44" s="24" t="s">
        <v>18</v>
      </c>
      <c r="D44" s="1">
        <f t="shared" si="8"/>
        <v>2029.2426000000007</v>
      </c>
      <c r="E44" s="1">
        <f t="shared" si="8"/>
        <v>0</v>
      </c>
      <c r="F44" s="2">
        <f>G44</f>
        <v>0</v>
      </c>
      <c r="G44" s="2">
        <v>0</v>
      </c>
      <c r="H44" s="2">
        <f>1.1*H43</f>
        <v>845.5177500000002</v>
      </c>
      <c r="I44" s="2">
        <v>0</v>
      </c>
      <c r="J44" s="2">
        <f>1.1*J43</f>
        <v>1183.7248500000005</v>
      </c>
      <c r="K44" s="2">
        <v>0</v>
      </c>
      <c r="L44" s="2">
        <f>1.1*L43</f>
        <v>0</v>
      </c>
      <c r="M44" s="2"/>
      <c r="N44" s="37"/>
      <c r="O44" s="5"/>
    </row>
    <row r="45" spans="1:15" s="4" customFormat="1" ht="15" customHeight="1" hidden="1">
      <c r="A45" s="42"/>
      <c r="B45" s="34" t="s">
        <v>46</v>
      </c>
      <c r="C45" s="24" t="s">
        <v>12</v>
      </c>
      <c r="D45" s="1">
        <f>SUM(D46:D51)</f>
        <v>0</v>
      </c>
      <c r="E45" s="1">
        <f aca="true" t="shared" si="9" ref="E45:M45">SUM(E46:E51)</f>
        <v>0</v>
      </c>
      <c r="F45" s="2">
        <f t="shared" si="9"/>
        <v>0</v>
      </c>
      <c r="G45" s="2">
        <f t="shared" si="9"/>
        <v>0</v>
      </c>
      <c r="H45" s="2">
        <f t="shared" si="9"/>
        <v>0</v>
      </c>
      <c r="I45" s="2">
        <f t="shared" si="9"/>
        <v>0</v>
      </c>
      <c r="J45" s="2">
        <f t="shared" si="9"/>
        <v>0</v>
      </c>
      <c r="K45" s="2">
        <f t="shared" si="9"/>
        <v>0</v>
      </c>
      <c r="L45" s="2">
        <f t="shared" si="9"/>
        <v>0</v>
      </c>
      <c r="M45" s="2">
        <f t="shared" si="9"/>
        <v>0</v>
      </c>
      <c r="N45" s="37"/>
      <c r="O45" s="5"/>
    </row>
    <row r="46" spans="1:15" ht="15" customHeight="1" hidden="1">
      <c r="A46" s="42"/>
      <c r="B46" s="34"/>
      <c r="C46" s="24" t="s">
        <v>13</v>
      </c>
      <c r="D46" s="1">
        <f aca="true" t="shared" si="10" ref="D46:E51">F46+H46+J46+L46</f>
        <v>0</v>
      </c>
      <c r="E46" s="1">
        <f t="shared" si="10"/>
        <v>0</v>
      </c>
      <c r="F46" s="2"/>
      <c r="G46" s="2"/>
      <c r="H46" s="2"/>
      <c r="I46" s="2"/>
      <c r="J46" s="2"/>
      <c r="K46" s="2"/>
      <c r="L46" s="2"/>
      <c r="M46" s="2"/>
      <c r="N46" s="37"/>
      <c r="O46" s="5"/>
    </row>
    <row r="47" spans="1:15" ht="15" customHeight="1" hidden="1">
      <c r="A47" s="42"/>
      <c r="B47" s="34"/>
      <c r="C47" s="24" t="s">
        <v>14</v>
      </c>
      <c r="D47" s="1">
        <f t="shared" si="10"/>
        <v>0</v>
      </c>
      <c r="E47" s="1">
        <f t="shared" si="10"/>
        <v>0</v>
      </c>
      <c r="F47" s="2"/>
      <c r="G47" s="2"/>
      <c r="H47" s="2"/>
      <c r="I47" s="2"/>
      <c r="J47" s="2"/>
      <c r="K47" s="2"/>
      <c r="L47" s="2"/>
      <c r="M47" s="2"/>
      <c r="N47" s="37"/>
      <c r="O47" s="5"/>
    </row>
    <row r="48" spans="1:15" ht="15" customHeight="1" hidden="1">
      <c r="A48" s="42"/>
      <c r="B48" s="34"/>
      <c r="C48" s="24" t="s">
        <v>15</v>
      </c>
      <c r="D48" s="1">
        <f t="shared" si="10"/>
        <v>0</v>
      </c>
      <c r="E48" s="1">
        <f t="shared" si="10"/>
        <v>0</v>
      </c>
      <c r="F48" s="2"/>
      <c r="G48" s="2"/>
      <c r="H48" s="2"/>
      <c r="I48" s="2"/>
      <c r="J48" s="2"/>
      <c r="K48" s="2"/>
      <c r="L48" s="2"/>
      <c r="M48" s="2"/>
      <c r="N48" s="37"/>
      <c r="O48" s="5"/>
    </row>
    <row r="49" spans="1:15" ht="15" customHeight="1" hidden="1">
      <c r="A49" s="42"/>
      <c r="B49" s="34"/>
      <c r="C49" s="24" t="s">
        <v>16</v>
      </c>
      <c r="D49" s="1">
        <f t="shared" si="10"/>
        <v>0</v>
      </c>
      <c r="E49" s="1">
        <f t="shared" si="10"/>
        <v>0</v>
      </c>
      <c r="F49" s="2"/>
      <c r="G49" s="2"/>
      <c r="H49" s="2"/>
      <c r="I49" s="2"/>
      <c r="J49" s="2"/>
      <c r="K49" s="2"/>
      <c r="L49" s="2"/>
      <c r="M49" s="2"/>
      <c r="N49" s="37"/>
      <c r="O49" s="5"/>
    </row>
    <row r="50" spans="1:15" ht="15" customHeight="1" hidden="1">
      <c r="A50" s="42"/>
      <c r="B50" s="34"/>
      <c r="C50" s="24" t="s">
        <v>17</v>
      </c>
      <c r="D50" s="1">
        <f t="shared" si="10"/>
        <v>0</v>
      </c>
      <c r="E50" s="1">
        <f t="shared" si="10"/>
        <v>0</v>
      </c>
      <c r="F50" s="2"/>
      <c r="G50" s="2"/>
      <c r="H50" s="2"/>
      <c r="I50" s="2"/>
      <c r="J50" s="2"/>
      <c r="K50" s="2"/>
      <c r="L50" s="2"/>
      <c r="M50" s="2"/>
      <c r="N50" s="37"/>
      <c r="O50" s="5"/>
    </row>
    <row r="51" spans="1:15" ht="15" customHeight="1" hidden="1">
      <c r="A51" s="42"/>
      <c r="B51" s="34"/>
      <c r="C51" s="24" t="s">
        <v>18</v>
      </c>
      <c r="D51" s="1">
        <f t="shared" si="10"/>
        <v>0</v>
      </c>
      <c r="E51" s="1">
        <f t="shared" si="10"/>
        <v>0</v>
      </c>
      <c r="F51" s="2"/>
      <c r="G51" s="2"/>
      <c r="H51" s="2"/>
      <c r="I51" s="2"/>
      <c r="J51" s="2"/>
      <c r="K51" s="2"/>
      <c r="L51" s="2"/>
      <c r="M51" s="2"/>
      <c r="N51" s="37"/>
      <c r="O51" s="5"/>
    </row>
    <row r="52" spans="1:15" s="4" customFormat="1" ht="15" customHeight="1">
      <c r="A52" s="42"/>
      <c r="B52" s="55" t="s">
        <v>49</v>
      </c>
      <c r="C52" s="24" t="s">
        <v>12</v>
      </c>
      <c r="D52" s="1">
        <f>SUM(D53:D58)</f>
        <v>6440</v>
      </c>
      <c r="E52" s="1">
        <f aca="true" t="shared" si="11" ref="E52:M52">SUM(E53:E58)</f>
        <v>860</v>
      </c>
      <c r="F52" s="1">
        <f t="shared" si="11"/>
        <v>6360</v>
      </c>
      <c r="G52" s="1">
        <f t="shared" si="11"/>
        <v>780</v>
      </c>
      <c r="H52" s="1">
        <f t="shared" si="11"/>
        <v>0</v>
      </c>
      <c r="I52" s="1">
        <f t="shared" si="11"/>
        <v>0</v>
      </c>
      <c r="J52" s="1">
        <f t="shared" si="11"/>
        <v>0</v>
      </c>
      <c r="K52" s="1">
        <f t="shared" si="11"/>
        <v>0</v>
      </c>
      <c r="L52" s="1">
        <f t="shared" si="11"/>
        <v>80</v>
      </c>
      <c r="M52" s="1">
        <f t="shared" si="11"/>
        <v>80</v>
      </c>
      <c r="N52" s="37"/>
      <c r="O52" s="5"/>
    </row>
    <row r="53" spans="1:16" ht="15.75">
      <c r="A53" s="42"/>
      <c r="B53" s="56"/>
      <c r="C53" s="24" t="s">
        <v>13</v>
      </c>
      <c r="D53" s="1">
        <f aca="true" t="shared" si="12" ref="D53:E58">F53+H53+J53+L53</f>
        <v>340</v>
      </c>
      <c r="E53" s="1">
        <f t="shared" si="12"/>
        <v>80</v>
      </c>
      <c r="F53" s="2">
        <v>260</v>
      </c>
      <c r="G53" s="2">
        <v>0</v>
      </c>
      <c r="H53" s="2"/>
      <c r="I53" s="2"/>
      <c r="J53" s="2"/>
      <c r="K53" s="2"/>
      <c r="L53" s="2">
        <v>80</v>
      </c>
      <c r="M53" s="2">
        <f>L53</f>
        <v>80</v>
      </c>
      <c r="N53" s="37"/>
      <c r="O53" s="5"/>
      <c r="P53" s="18"/>
    </row>
    <row r="54" spans="1:16" ht="15.75">
      <c r="A54" s="42"/>
      <c r="B54" s="56"/>
      <c r="C54" s="24" t="s">
        <v>14</v>
      </c>
      <c r="D54" s="1">
        <f t="shared" si="12"/>
        <v>1220</v>
      </c>
      <c r="E54" s="1">
        <f t="shared" si="12"/>
        <v>260</v>
      </c>
      <c r="F54" s="2">
        <f>G54+960</f>
        <v>1220</v>
      </c>
      <c r="G54" s="2">
        <v>260</v>
      </c>
      <c r="H54" s="2"/>
      <c r="I54" s="2"/>
      <c r="J54" s="2"/>
      <c r="K54" s="2"/>
      <c r="L54" s="2">
        <v>0</v>
      </c>
      <c r="M54" s="2">
        <v>0</v>
      </c>
      <c r="N54" s="37"/>
      <c r="O54" s="5"/>
      <c r="P54" s="29">
        <f>F54-G54</f>
        <v>960</v>
      </c>
    </row>
    <row r="55" spans="1:16" ht="15.75">
      <c r="A55" s="42"/>
      <c r="B55" s="56"/>
      <c r="C55" s="24" t="s">
        <v>15</v>
      </c>
      <c r="D55" s="1">
        <f t="shared" si="12"/>
        <v>1220</v>
      </c>
      <c r="E55" s="1">
        <f t="shared" si="12"/>
        <v>260</v>
      </c>
      <c r="F55" s="2">
        <f>G55+960</f>
        <v>1220</v>
      </c>
      <c r="G55" s="2">
        <v>260</v>
      </c>
      <c r="H55" s="2"/>
      <c r="I55" s="2"/>
      <c r="J55" s="2"/>
      <c r="K55" s="2"/>
      <c r="L55" s="2">
        <v>0</v>
      </c>
      <c r="M55" s="2">
        <v>0</v>
      </c>
      <c r="N55" s="37"/>
      <c r="O55" s="5"/>
      <c r="P55" s="29">
        <f>F55-G55</f>
        <v>960</v>
      </c>
    </row>
    <row r="56" spans="1:16" ht="15.75">
      <c r="A56" s="42"/>
      <c r="B56" s="56"/>
      <c r="C56" s="24" t="s">
        <v>16</v>
      </c>
      <c r="D56" s="1">
        <f t="shared" si="12"/>
        <v>1220</v>
      </c>
      <c r="E56" s="1">
        <f t="shared" si="12"/>
        <v>260</v>
      </c>
      <c r="F56" s="2">
        <f>G56+960</f>
        <v>1220</v>
      </c>
      <c r="G56" s="2">
        <v>260</v>
      </c>
      <c r="H56" s="2"/>
      <c r="I56" s="2"/>
      <c r="J56" s="2"/>
      <c r="K56" s="2"/>
      <c r="L56" s="2">
        <f>1.1*L55</f>
        <v>0</v>
      </c>
      <c r="M56" s="2">
        <v>0</v>
      </c>
      <c r="N56" s="37"/>
      <c r="O56" s="5"/>
      <c r="P56" s="29">
        <f>F56-G56</f>
        <v>960</v>
      </c>
    </row>
    <row r="57" spans="1:15" ht="15.75">
      <c r="A57" s="42"/>
      <c r="B57" s="56"/>
      <c r="C57" s="24" t="s">
        <v>17</v>
      </c>
      <c r="D57" s="1">
        <f t="shared" si="12"/>
        <v>1220</v>
      </c>
      <c r="E57" s="1">
        <f t="shared" si="12"/>
        <v>0</v>
      </c>
      <c r="F57" s="2">
        <f>G57+960+260</f>
        <v>1220</v>
      </c>
      <c r="G57" s="2">
        <v>0</v>
      </c>
      <c r="H57" s="2"/>
      <c r="I57" s="2"/>
      <c r="J57" s="2"/>
      <c r="K57" s="2"/>
      <c r="L57" s="2">
        <f>1.1*L56</f>
        <v>0</v>
      </c>
      <c r="M57" s="2">
        <v>0</v>
      </c>
      <c r="N57" s="37"/>
      <c r="O57" s="5"/>
    </row>
    <row r="58" spans="1:15" ht="15.75">
      <c r="A58" s="42"/>
      <c r="B58" s="57"/>
      <c r="C58" s="24" t="s">
        <v>18</v>
      </c>
      <c r="D58" s="1">
        <f t="shared" si="12"/>
        <v>1220</v>
      </c>
      <c r="E58" s="1">
        <f t="shared" si="12"/>
        <v>0</v>
      </c>
      <c r="F58" s="2">
        <f>G58+960+260</f>
        <v>1220</v>
      </c>
      <c r="G58" s="2">
        <v>0</v>
      </c>
      <c r="H58" s="2"/>
      <c r="I58" s="2"/>
      <c r="J58" s="2"/>
      <c r="K58" s="2"/>
      <c r="L58" s="2">
        <f>1.1*L57</f>
        <v>0</v>
      </c>
      <c r="M58" s="2">
        <v>0</v>
      </c>
      <c r="N58" s="37"/>
      <c r="O58" s="5"/>
    </row>
    <row r="59" spans="1:15" ht="15.75" customHeight="1">
      <c r="A59" s="42"/>
      <c r="B59" s="55" t="s">
        <v>53</v>
      </c>
      <c r="C59" s="24" t="s">
        <v>12</v>
      </c>
      <c r="D59" s="1">
        <f>SUM(D60:D65)</f>
        <v>930</v>
      </c>
      <c r="E59" s="1">
        <f aca="true" t="shared" si="13" ref="E59:K59">SUM(E60:E65)</f>
        <v>620</v>
      </c>
      <c r="F59" s="2">
        <f t="shared" si="13"/>
        <v>930</v>
      </c>
      <c r="G59" s="2">
        <f t="shared" si="13"/>
        <v>620</v>
      </c>
      <c r="H59" s="2">
        <f t="shared" si="13"/>
        <v>0</v>
      </c>
      <c r="I59" s="2">
        <f t="shared" si="13"/>
        <v>0</v>
      </c>
      <c r="J59" s="2">
        <f t="shared" si="13"/>
        <v>0</v>
      </c>
      <c r="K59" s="2">
        <f t="shared" si="13"/>
        <v>0</v>
      </c>
      <c r="L59" s="2"/>
      <c r="M59" s="2"/>
      <c r="N59" s="37"/>
      <c r="O59" s="5"/>
    </row>
    <row r="60" spans="1:15" ht="15.75">
      <c r="A60" s="42"/>
      <c r="B60" s="56"/>
      <c r="C60" s="24" t="s">
        <v>13</v>
      </c>
      <c r="D60" s="1">
        <f aca="true" t="shared" si="14" ref="D60:E65">F60+H60+J60+L60</f>
        <v>155</v>
      </c>
      <c r="E60" s="1">
        <f t="shared" si="14"/>
        <v>155</v>
      </c>
      <c r="F60" s="2">
        <v>155</v>
      </c>
      <c r="G60" s="2">
        <v>155</v>
      </c>
      <c r="H60" s="2"/>
      <c r="I60" s="2"/>
      <c r="J60" s="2"/>
      <c r="K60" s="2"/>
      <c r="L60" s="2"/>
      <c r="M60" s="2"/>
      <c r="N60" s="37"/>
      <c r="O60" s="5"/>
    </row>
    <row r="61" spans="1:15" ht="15.75">
      <c r="A61" s="42"/>
      <c r="B61" s="56"/>
      <c r="C61" s="24" t="s">
        <v>14</v>
      </c>
      <c r="D61" s="1">
        <f t="shared" si="14"/>
        <v>155</v>
      </c>
      <c r="E61" s="1">
        <f t="shared" si="14"/>
        <v>155</v>
      </c>
      <c r="F61" s="2">
        <v>155</v>
      </c>
      <c r="G61" s="2">
        <v>155</v>
      </c>
      <c r="H61" s="2"/>
      <c r="I61" s="2"/>
      <c r="J61" s="2"/>
      <c r="K61" s="2"/>
      <c r="L61" s="2"/>
      <c r="M61" s="2"/>
      <c r="N61" s="37"/>
      <c r="O61" s="5"/>
    </row>
    <row r="62" spans="1:15" ht="15.75">
      <c r="A62" s="42"/>
      <c r="B62" s="56"/>
      <c r="C62" s="24" t="s">
        <v>15</v>
      </c>
      <c r="D62" s="1">
        <f t="shared" si="14"/>
        <v>155</v>
      </c>
      <c r="E62" s="1">
        <f t="shared" si="14"/>
        <v>155</v>
      </c>
      <c r="F62" s="2">
        <v>155</v>
      </c>
      <c r="G62" s="2">
        <v>155</v>
      </c>
      <c r="H62" s="2"/>
      <c r="I62" s="2"/>
      <c r="J62" s="2"/>
      <c r="K62" s="2"/>
      <c r="L62" s="2"/>
      <c r="M62" s="2"/>
      <c r="N62" s="37"/>
      <c r="O62" s="5"/>
    </row>
    <row r="63" spans="1:15" ht="15.75">
      <c r="A63" s="42"/>
      <c r="B63" s="56"/>
      <c r="C63" s="24" t="s">
        <v>16</v>
      </c>
      <c r="D63" s="1">
        <f t="shared" si="14"/>
        <v>155</v>
      </c>
      <c r="E63" s="1">
        <f t="shared" si="14"/>
        <v>155</v>
      </c>
      <c r="F63" s="2">
        <v>155</v>
      </c>
      <c r="G63" s="2">
        <v>155</v>
      </c>
      <c r="H63" s="2"/>
      <c r="I63" s="2"/>
      <c r="J63" s="2"/>
      <c r="K63" s="2"/>
      <c r="L63" s="2"/>
      <c r="M63" s="2"/>
      <c r="N63" s="37"/>
      <c r="O63" s="5"/>
    </row>
    <row r="64" spans="1:15" ht="15.75">
      <c r="A64" s="42"/>
      <c r="B64" s="56"/>
      <c r="C64" s="24" t="s">
        <v>17</v>
      </c>
      <c r="D64" s="1">
        <f t="shared" si="14"/>
        <v>155</v>
      </c>
      <c r="E64" s="1">
        <f t="shared" si="14"/>
        <v>0</v>
      </c>
      <c r="F64" s="2">
        <v>155</v>
      </c>
      <c r="G64" s="2"/>
      <c r="H64" s="2"/>
      <c r="I64" s="2"/>
      <c r="J64" s="2"/>
      <c r="K64" s="2"/>
      <c r="L64" s="2"/>
      <c r="M64" s="2"/>
      <c r="N64" s="37"/>
      <c r="O64" s="5"/>
    </row>
    <row r="65" spans="1:15" ht="15.75">
      <c r="A65" s="42"/>
      <c r="B65" s="57"/>
      <c r="C65" s="24" t="s">
        <v>18</v>
      </c>
      <c r="D65" s="1">
        <f t="shared" si="14"/>
        <v>155</v>
      </c>
      <c r="E65" s="1">
        <f t="shared" si="14"/>
        <v>0</v>
      </c>
      <c r="F65" s="2">
        <v>155</v>
      </c>
      <c r="G65" s="2"/>
      <c r="H65" s="2"/>
      <c r="I65" s="2"/>
      <c r="J65" s="2"/>
      <c r="K65" s="2"/>
      <c r="L65" s="2"/>
      <c r="M65" s="2"/>
      <c r="N65" s="32"/>
      <c r="O65" s="5"/>
    </row>
    <row r="66" spans="1:15" s="16" customFormat="1" ht="15.75">
      <c r="A66" s="46" t="s">
        <v>61</v>
      </c>
      <c r="B66" s="27" t="s">
        <v>56</v>
      </c>
      <c r="C66" s="25" t="s">
        <v>12</v>
      </c>
      <c r="D66" s="1">
        <f aca="true" t="shared" si="15" ref="D66:M66">SUM(D67:D72)</f>
        <v>133133.7227</v>
      </c>
      <c r="E66" s="1">
        <f t="shared" si="15"/>
        <v>72962.2</v>
      </c>
      <c r="F66" s="1">
        <f t="shared" si="15"/>
        <v>57231.2</v>
      </c>
      <c r="G66" s="1">
        <f t="shared" si="15"/>
        <v>32102.8</v>
      </c>
      <c r="H66" s="1">
        <f t="shared" si="15"/>
        <v>0</v>
      </c>
      <c r="I66" s="1">
        <f t="shared" si="15"/>
        <v>0</v>
      </c>
      <c r="J66" s="1">
        <f t="shared" si="15"/>
        <v>31702.5227</v>
      </c>
      <c r="K66" s="19">
        <f t="shared" si="15"/>
        <v>10859.4</v>
      </c>
      <c r="L66" s="1">
        <f t="shared" si="15"/>
        <v>44200</v>
      </c>
      <c r="M66" s="1">
        <f t="shared" si="15"/>
        <v>30000</v>
      </c>
      <c r="N66" s="36" t="s">
        <v>45</v>
      </c>
      <c r="O66" s="5"/>
    </row>
    <row r="67" spans="1:16" s="16" customFormat="1" ht="15.75" customHeight="1">
      <c r="A67" s="46"/>
      <c r="B67" s="51" t="s">
        <v>19</v>
      </c>
      <c r="C67" s="25" t="s">
        <v>13</v>
      </c>
      <c r="D67" s="1">
        <f aca="true" t="shared" si="16" ref="D67:E72">F67+H67+J67+L67</f>
        <v>18924</v>
      </c>
      <c r="E67" s="1">
        <f t="shared" si="16"/>
        <v>17923.5</v>
      </c>
      <c r="F67" s="1">
        <f aca="true" t="shared" si="17" ref="F67:K67">F74+F81</f>
        <v>8382.8</v>
      </c>
      <c r="G67" s="1">
        <f t="shared" si="17"/>
        <v>7582.3</v>
      </c>
      <c r="H67" s="1">
        <f t="shared" si="17"/>
        <v>0</v>
      </c>
      <c r="I67" s="1">
        <f t="shared" si="17"/>
        <v>0</v>
      </c>
      <c r="J67" s="1">
        <f t="shared" si="17"/>
        <v>1841.2</v>
      </c>
      <c r="K67" s="1">
        <f t="shared" si="17"/>
        <v>1641.2</v>
      </c>
      <c r="L67" s="1">
        <f aca="true" t="shared" si="18" ref="L67:M72">L74+L81</f>
        <v>8700</v>
      </c>
      <c r="M67" s="1">
        <f>M74+M81</f>
        <v>8700</v>
      </c>
      <c r="N67" s="37"/>
      <c r="O67" s="5"/>
      <c r="P67" s="20"/>
    </row>
    <row r="68" spans="1:17" s="16" customFormat="1" ht="15.75">
      <c r="A68" s="46"/>
      <c r="B68" s="52"/>
      <c r="C68" s="25" t="s">
        <v>14</v>
      </c>
      <c r="D68" s="1">
        <f t="shared" si="16"/>
        <v>20102.3</v>
      </c>
      <c r="E68" s="1">
        <f t="shared" si="16"/>
        <v>18877</v>
      </c>
      <c r="F68" s="1">
        <f aca="true" t="shared" si="19" ref="F68:K72">F75+F82</f>
        <v>9198.8</v>
      </c>
      <c r="G68" s="1">
        <f>G75+G82</f>
        <v>8173.5</v>
      </c>
      <c r="H68" s="1">
        <f t="shared" si="19"/>
        <v>0</v>
      </c>
      <c r="I68" s="1">
        <f t="shared" si="19"/>
        <v>0</v>
      </c>
      <c r="J68" s="1">
        <f t="shared" si="19"/>
        <v>3803.5</v>
      </c>
      <c r="K68" s="1">
        <f t="shared" si="19"/>
        <v>3603.5</v>
      </c>
      <c r="L68" s="1">
        <f t="shared" si="18"/>
        <v>7100</v>
      </c>
      <c r="M68" s="1">
        <f t="shared" si="18"/>
        <v>7100</v>
      </c>
      <c r="N68" s="37"/>
      <c r="O68" s="5"/>
      <c r="P68" s="15">
        <f>F68-G68</f>
        <v>1025.2999999999993</v>
      </c>
      <c r="Q68" s="16" t="s">
        <v>64</v>
      </c>
    </row>
    <row r="69" spans="1:16" s="16" customFormat="1" ht="15.75">
      <c r="A69" s="46"/>
      <c r="B69" s="52"/>
      <c r="C69" s="25" t="s">
        <v>15</v>
      </c>
      <c r="D69" s="1">
        <f t="shared" si="16"/>
        <v>21913.5</v>
      </c>
      <c r="E69" s="1">
        <f t="shared" si="16"/>
        <v>20888.2</v>
      </c>
      <c r="F69" s="1">
        <f t="shared" si="19"/>
        <v>9198.8</v>
      </c>
      <c r="G69" s="1">
        <f>G76+G83</f>
        <v>8173.5</v>
      </c>
      <c r="H69" s="1">
        <f t="shared" si="19"/>
        <v>0</v>
      </c>
      <c r="I69" s="1">
        <f t="shared" si="19"/>
        <v>0</v>
      </c>
      <c r="J69" s="1">
        <f>J76+J83</f>
        <v>5614.7</v>
      </c>
      <c r="K69" s="1">
        <f t="shared" si="19"/>
        <v>5614.7</v>
      </c>
      <c r="L69" s="1">
        <f t="shared" si="18"/>
        <v>7100</v>
      </c>
      <c r="M69" s="1">
        <f t="shared" si="18"/>
        <v>7100</v>
      </c>
      <c r="N69" s="37"/>
      <c r="O69" s="5"/>
      <c r="P69" s="15">
        <f>F69-G69</f>
        <v>1025.2999999999993</v>
      </c>
    </row>
    <row r="70" spans="1:16" s="16" customFormat="1" ht="15.75">
      <c r="A70" s="46"/>
      <c r="B70" s="52"/>
      <c r="C70" s="25" t="s">
        <v>16</v>
      </c>
      <c r="D70" s="1">
        <f t="shared" si="16"/>
        <v>22474.97</v>
      </c>
      <c r="E70" s="1">
        <f t="shared" si="16"/>
        <v>15273.5</v>
      </c>
      <c r="F70" s="1">
        <f t="shared" si="19"/>
        <v>9198.8</v>
      </c>
      <c r="G70" s="1">
        <f t="shared" si="19"/>
        <v>8173.5</v>
      </c>
      <c r="H70" s="1">
        <f t="shared" si="19"/>
        <v>0</v>
      </c>
      <c r="I70" s="1">
        <f t="shared" si="19"/>
        <v>0</v>
      </c>
      <c r="J70" s="1">
        <f t="shared" si="19"/>
        <v>6176.17</v>
      </c>
      <c r="K70" s="1">
        <f t="shared" si="19"/>
        <v>0</v>
      </c>
      <c r="L70" s="1">
        <f t="shared" si="18"/>
        <v>7100</v>
      </c>
      <c r="M70" s="1">
        <f t="shared" si="18"/>
        <v>7100</v>
      </c>
      <c r="N70" s="37"/>
      <c r="O70" s="5"/>
      <c r="P70" s="15">
        <f>F70-G70</f>
        <v>1025.2999999999993</v>
      </c>
    </row>
    <row r="71" spans="1:15" s="16" customFormat="1" ht="15.75">
      <c r="A71" s="46"/>
      <c r="B71" s="52"/>
      <c r="C71" s="25" t="s">
        <v>17</v>
      </c>
      <c r="D71" s="1">
        <f t="shared" si="16"/>
        <v>24013.787</v>
      </c>
      <c r="E71" s="1">
        <f t="shared" si="16"/>
        <v>0</v>
      </c>
      <c r="F71" s="1">
        <f t="shared" si="19"/>
        <v>10120</v>
      </c>
      <c r="G71" s="1">
        <f t="shared" si="19"/>
        <v>0</v>
      </c>
      <c r="H71" s="1">
        <f t="shared" si="19"/>
        <v>0</v>
      </c>
      <c r="I71" s="1">
        <f t="shared" si="19"/>
        <v>0</v>
      </c>
      <c r="J71" s="1">
        <f>J78+J85</f>
        <v>6793.787</v>
      </c>
      <c r="K71" s="1">
        <f t="shared" si="19"/>
        <v>0</v>
      </c>
      <c r="L71" s="1">
        <f t="shared" si="18"/>
        <v>7100</v>
      </c>
      <c r="M71" s="1">
        <f t="shared" si="18"/>
        <v>0</v>
      </c>
      <c r="N71" s="37"/>
      <c r="O71" s="5"/>
    </row>
    <row r="72" spans="1:15" s="16" customFormat="1" ht="15.75">
      <c r="A72" s="46"/>
      <c r="B72" s="53"/>
      <c r="C72" s="25" t="s">
        <v>18</v>
      </c>
      <c r="D72" s="1">
        <f t="shared" si="16"/>
        <v>25705.1657</v>
      </c>
      <c r="E72" s="1">
        <f t="shared" si="16"/>
        <v>0</v>
      </c>
      <c r="F72" s="1">
        <f t="shared" si="19"/>
        <v>11132</v>
      </c>
      <c r="G72" s="1">
        <f t="shared" si="19"/>
        <v>0</v>
      </c>
      <c r="H72" s="1">
        <f t="shared" si="19"/>
        <v>0</v>
      </c>
      <c r="I72" s="1">
        <f t="shared" si="19"/>
        <v>0</v>
      </c>
      <c r="J72" s="1">
        <f t="shared" si="19"/>
        <v>7473.1657000000005</v>
      </c>
      <c r="K72" s="1">
        <f t="shared" si="19"/>
        <v>0</v>
      </c>
      <c r="L72" s="1">
        <f t="shared" si="18"/>
        <v>7100</v>
      </c>
      <c r="M72" s="1">
        <f t="shared" si="18"/>
        <v>0</v>
      </c>
      <c r="N72" s="37"/>
      <c r="O72" s="5"/>
    </row>
    <row r="73" spans="1:15" s="4" customFormat="1" ht="15.75" customHeight="1">
      <c r="A73" s="46"/>
      <c r="B73" s="34" t="s">
        <v>28</v>
      </c>
      <c r="C73" s="24" t="s">
        <v>12</v>
      </c>
      <c r="D73" s="1">
        <f>SUM(D74:D79)</f>
        <v>132913.7227</v>
      </c>
      <c r="E73" s="1">
        <f>SUM(E74:E79)</f>
        <v>72962.2</v>
      </c>
      <c r="F73" s="2">
        <f aca="true" t="shared" si="20" ref="F73:M73">SUM(F74:F79)</f>
        <v>57011.2</v>
      </c>
      <c r="G73" s="2">
        <f t="shared" si="20"/>
        <v>32102.8</v>
      </c>
      <c r="H73" s="2">
        <f t="shared" si="20"/>
        <v>0</v>
      </c>
      <c r="I73" s="2">
        <f t="shared" si="20"/>
        <v>0</v>
      </c>
      <c r="J73" s="2">
        <f t="shared" si="20"/>
        <v>31702.5227</v>
      </c>
      <c r="K73" s="2">
        <f t="shared" si="20"/>
        <v>10859.4</v>
      </c>
      <c r="L73" s="2">
        <f t="shared" si="20"/>
        <v>44200</v>
      </c>
      <c r="M73" s="2">
        <f t="shared" si="20"/>
        <v>30000</v>
      </c>
      <c r="N73" s="37"/>
      <c r="O73" s="5"/>
    </row>
    <row r="74" spans="1:15" ht="15.75">
      <c r="A74" s="46"/>
      <c r="B74" s="34"/>
      <c r="C74" s="24" t="s">
        <v>13</v>
      </c>
      <c r="D74" s="1">
        <f aca="true" t="shared" si="21" ref="D74:E79">F74+H74+J74+L74</f>
        <v>18704</v>
      </c>
      <c r="E74" s="1">
        <f t="shared" si="21"/>
        <v>17923.5</v>
      </c>
      <c r="F74" s="2">
        <f>743.8+G74-163.3</f>
        <v>8162.8</v>
      </c>
      <c r="G74" s="2">
        <v>7582.3</v>
      </c>
      <c r="H74" s="24"/>
      <c r="I74" s="2">
        <v>0</v>
      </c>
      <c r="J74" s="2">
        <f>200+K74</f>
        <v>1841.2</v>
      </c>
      <c r="K74" s="2">
        <v>1641.2</v>
      </c>
      <c r="L74" s="2">
        <v>8700</v>
      </c>
      <c r="M74" s="2">
        <f>L74</f>
        <v>8700</v>
      </c>
      <c r="N74" s="37"/>
      <c r="O74" s="5"/>
    </row>
    <row r="75" spans="1:16" ht="15.75">
      <c r="A75" s="46"/>
      <c r="B75" s="34"/>
      <c r="C75" s="24" t="s">
        <v>14</v>
      </c>
      <c r="D75" s="1">
        <f t="shared" si="21"/>
        <v>20102.3</v>
      </c>
      <c r="E75" s="1">
        <f t="shared" si="21"/>
        <v>18877</v>
      </c>
      <c r="F75" s="2">
        <f>G75+75.9+193.4+46+230+480</f>
        <v>9198.8</v>
      </c>
      <c r="G75" s="2">
        <f>260+7913.5</f>
        <v>8173.5</v>
      </c>
      <c r="H75" s="24"/>
      <c r="I75" s="2">
        <v>0</v>
      </c>
      <c r="J75" s="2">
        <f>200+K75</f>
        <v>3803.5</v>
      </c>
      <c r="K75" s="2">
        <f>2182.9+1420.6</f>
        <v>3603.5</v>
      </c>
      <c r="L75" s="2">
        <f>7100-L82</f>
        <v>7100</v>
      </c>
      <c r="M75" s="2">
        <f>L75</f>
        <v>7100</v>
      </c>
      <c r="N75" s="37"/>
      <c r="O75" s="5"/>
      <c r="P75" s="29">
        <f>F75-G75</f>
        <v>1025.2999999999993</v>
      </c>
    </row>
    <row r="76" spans="1:16" ht="15.75">
      <c r="A76" s="46"/>
      <c r="B76" s="34"/>
      <c r="C76" s="24" t="s">
        <v>15</v>
      </c>
      <c r="D76" s="1">
        <f t="shared" si="21"/>
        <v>21913.5</v>
      </c>
      <c r="E76" s="1">
        <f t="shared" si="21"/>
        <v>20888.2</v>
      </c>
      <c r="F76" s="2">
        <f>G76+75.9+193.4+46+230+480</f>
        <v>9198.8</v>
      </c>
      <c r="G76" s="2">
        <f>260+7913.5</f>
        <v>8173.5</v>
      </c>
      <c r="H76" s="24"/>
      <c r="I76" s="2">
        <v>0</v>
      </c>
      <c r="J76" s="2">
        <f>K76</f>
        <v>5614.7</v>
      </c>
      <c r="K76" s="2">
        <v>5614.7</v>
      </c>
      <c r="L76" s="2">
        <f>7100-L83</f>
        <v>7100</v>
      </c>
      <c r="M76" s="2">
        <f>L76</f>
        <v>7100</v>
      </c>
      <c r="N76" s="37"/>
      <c r="O76" s="5"/>
      <c r="P76" s="29">
        <f>F76-G76</f>
        <v>1025.2999999999993</v>
      </c>
    </row>
    <row r="77" spans="1:16" ht="15.75">
      <c r="A77" s="46"/>
      <c r="B77" s="34"/>
      <c r="C77" s="24" t="s">
        <v>16</v>
      </c>
      <c r="D77" s="1">
        <f t="shared" si="21"/>
        <v>22474.97</v>
      </c>
      <c r="E77" s="1">
        <f t="shared" si="21"/>
        <v>15273.5</v>
      </c>
      <c r="F77" s="2">
        <f>G77+75.9+193.4+46+230+480</f>
        <v>9198.8</v>
      </c>
      <c r="G77" s="2">
        <f>260+7913.5</f>
        <v>8173.5</v>
      </c>
      <c r="H77" s="24"/>
      <c r="I77" s="2">
        <v>0</v>
      </c>
      <c r="J77" s="2">
        <f>1.1*J76</f>
        <v>6176.17</v>
      </c>
      <c r="K77" s="2">
        <v>0</v>
      </c>
      <c r="L77" s="2">
        <f>7100-L84</f>
        <v>7100</v>
      </c>
      <c r="M77" s="2">
        <f>L77</f>
        <v>7100</v>
      </c>
      <c r="N77" s="37"/>
      <c r="O77" s="5"/>
      <c r="P77" s="29">
        <f>F77-G77</f>
        <v>1025.2999999999993</v>
      </c>
    </row>
    <row r="78" spans="1:15" ht="15.75">
      <c r="A78" s="46"/>
      <c r="B78" s="34"/>
      <c r="C78" s="24" t="s">
        <v>17</v>
      </c>
      <c r="D78" s="1">
        <f t="shared" si="21"/>
        <v>24013.787</v>
      </c>
      <c r="E78" s="1">
        <f t="shared" si="21"/>
        <v>0</v>
      </c>
      <c r="F78" s="2">
        <f>1.1*9200</f>
        <v>10120</v>
      </c>
      <c r="G78" s="2">
        <v>0</v>
      </c>
      <c r="H78" s="24"/>
      <c r="I78" s="2">
        <v>0</v>
      </c>
      <c r="J78" s="2">
        <f>1.1*J77</f>
        <v>6793.787</v>
      </c>
      <c r="K78" s="2">
        <v>0</v>
      </c>
      <c r="L78" s="2">
        <f>7100-L85</f>
        <v>7100</v>
      </c>
      <c r="M78" s="2"/>
      <c r="N78" s="37"/>
      <c r="O78" s="5"/>
    </row>
    <row r="79" spans="1:15" ht="15.75">
      <c r="A79" s="46"/>
      <c r="B79" s="34"/>
      <c r="C79" s="24" t="s">
        <v>18</v>
      </c>
      <c r="D79" s="1">
        <f t="shared" si="21"/>
        <v>25705.1657</v>
      </c>
      <c r="E79" s="1">
        <f t="shared" si="21"/>
        <v>0</v>
      </c>
      <c r="F79" s="2">
        <f>1.1*F78</f>
        <v>11132</v>
      </c>
      <c r="G79" s="2">
        <v>0</v>
      </c>
      <c r="H79" s="24"/>
      <c r="I79" s="2">
        <v>0</v>
      </c>
      <c r="J79" s="2">
        <f>1.1*J78</f>
        <v>7473.1657000000005</v>
      </c>
      <c r="K79" s="2">
        <v>0</v>
      </c>
      <c r="L79" s="2">
        <f>7100-L86</f>
        <v>7100</v>
      </c>
      <c r="M79" s="2"/>
      <c r="N79" s="37"/>
      <c r="O79" s="5"/>
    </row>
    <row r="80" spans="1:15" s="17" customFormat="1" ht="18.75" customHeight="1">
      <c r="A80" s="46"/>
      <c r="B80" s="54" t="s">
        <v>50</v>
      </c>
      <c r="C80" s="24" t="s">
        <v>12</v>
      </c>
      <c r="D80" s="1">
        <f>SUM(D81:D86)</f>
        <v>220</v>
      </c>
      <c r="E80" s="1">
        <f>SUM(E81:E86)</f>
        <v>0</v>
      </c>
      <c r="F80" s="2">
        <f aca="true" t="shared" si="22" ref="F80:K80">SUM(F81:F86)</f>
        <v>220</v>
      </c>
      <c r="G80" s="2">
        <f>SUM(G81:G86)</f>
        <v>0</v>
      </c>
      <c r="H80" s="2">
        <f t="shared" si="22"/>
        <v>0</v>
      </c>
      <c r="I80" s="2">
        <f t="shared" si="22"/>
        <v>0</v>
      </c>
      <c r="J80" s="2">
        <f t="shared" si="22"/>
        <v>0</v>
      </c>
      <c r="K80" s="2">
        <f t="shared" si="22"/>
        <v>0</v>
      </c>
      <c r="L80" s="2">
        <f>SUM(L81:L86)</f>
        <v>0</v>
      </c>
      <c r="M80" s="2">
        <f>SUM(M81:M86)</f>
        <v>0</v>
      </c>
      <c r="N80" s="37"/>
      <c r="O80" s="3"/>
    </row>
    <row r="81" spans="1:15" ht="18.75" customHeight="1">
      <c r="A81" s="46"/>
      <c r="B81" s="33"/>
      <c r="C81" s="24" t="s">
        <v>13</v>
      </c>
      <c r="D81" s="1">
        <f aca="true" t="shared" si="23" ref="D81:E86">F81+H81+J81+L81</f>
        <v>220</v>
      </c>
      <c r="E81" s="1">
        <f t="shared" si="23"/>
        <v>0</v>
      </c>
      <c r="F81" s="2">
        <v>220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f>L81</f>
        <v>0</v>
      </c>
      <c r="N81" s="37"/>
      <c r="O81" s="5"/>
    </row>
    <row r="82" spans="1:15" ht="18.75" customHeight="1">
      <c r="A82" s="46"/>
      <c r="B82" s="33"/>
      <c r="C82" s="24" t="s">
        <v>14</v>
      </c>
      <c r="D82" s="1">
        <f t="shared" si="23"/>
        <v>0</v>
      </c>
      <c r="E82" s="1">
        <f t="shared" si="23"/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f>L82</f>
        <v>0</v>
      </c>
      <c r="N82" s="37"/>
      <c r="O82" s="5"/>
    </row>
    <row r="83" spans="1:15" ht="18.75" customHeight="1">
      <c r="A83" s="46"/>
      <c r="B83" s="33"/>
      <c r="C83" s="24" t="s">
        <v>15</v>
      </c>
      <c r="D83" s="1">
        <f t="shared" si="23"/>
        <v>0</v>
      </c>
      <c r="E83" s="1">
        <f t="shared" si="23"/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f>L83</f>
        <v>0</v>
      </c>
      <c r="N83" s="37"/>
      <c r="O83" s="5"/>
    </row>
    <row r="84" spans="1:15" ht="18.75" customHeight="1">
      <c r="A84" s="46"/>
      <c r="B84" s="33"/>
      <c r="C84" s="24" t="s">
        <v>16</v>
      </c>
      <c r="D84" s="1">
        <f t="shared" si="23"/>
        <v>0</v>
      </c>
      <c r="E84" s="1">
        <f t="shared" si="23"/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f>L84</f>
        <v>0</v>
      </c>
      <c r="N84" s="37"/>
      <c r="O84" s="5"/>
    </row>
    <row r="85" spans="1:15" ht="18.75" customHeight="1">
      <c r="A85" s="46"/>
      <c r="B85" s="33"/>
      <c r="C85" s="24" t="s">
        <v>17</v>
      </c>
      <c r="D85" s="1">
        <f t="shared" si="23"/>
        <v>0</v>
      </c>
      <c r="E85" s="1">
        <f t="shared" si="23"/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/>
      <c r="N85" s="37"/>
      <c r="O85" s="5"/>
    </row>
    <row r="86" spans="1:15" ht="18.75" customHeight="1">
      <c r="A86" s="47"/>
      <c r="B86" s="38"/>
      <c r="C86" s="24" t="s">
        <v>18</v>
      </c>
      <c r="D86" s="1">
        <f t="shared" si="23"/>
        <v>0</v>
      </c>
      <c r="E86" s="1">
        <f t="shared" si="23"/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/>
      <c r="N86" s="32"/>
      <c r="O86" s="5"/>
    </row>
    <row r="87" spans="1:15" s="16" customFormat="1" ht="15.75">
      <c r="A87" s="41" t="s">
        <v>20</v>
      </c>
      <c r="B87" s="27" t="s">
        <v>57</v>
      </c>
      <c r="C87" s="25" t="s">
        <v>12</v>
      </c>
      <c r="D87" s="1">
        <f>SUM(D88:D93)</f>
        <v>1410993.9871999999</v>
      </c>
      <c r="E87" s="1">
        <f aca="true" t="shared" si="24" ref="E87:M87">SUM(E88:E93)</f>
        <v>701565.2</v>
      </c>
      <c r="F87" s="1">
        <f>SUM(F88:F93)</f>
        <v>718141.94</v>
      </c>
      <c r="G87" s="1">
        <f t="shared" si="24"/>
        <v>429279.1</v>
      </c>
      <c r="H87" s="1">
        <f t="shared" si="24"/>
        <v>15000</v>
      </c>
      <c r="I87" s="1">
        <f t="shared" si="24"/>
        <v>0</v>
      </c>
      <c r="J87" s="1">
        <f t="shared" si="24"/>
        <v>498926.3471999999</v>
      </c>
      <c r="K87" s="1">
        <f t="shared" si="24"/>
        <v>151627</v>
      </c>
      <c r="L87" s="1">
        <f t="shared" si="24"/>
        <v>178925.69999999998</v>
      </c>
      <c r="M87" s="1">
        <f t="shared" si="24"/>
        <v>120659.1</v>
      </c>
      <c r="N87" s="36" t="s">
        <v>45</v>
      </c>
      <c r="O87" s="5"/>
    </row>
    <row r="88" spans="1:16" s="16" customFormat="1" ht="15.75" customHeight="1">
      <c r="A88" s="42"/>
      <c r="B88" s="40" t="s">
        <v>21</v>
      </c>
      <c r="C88" s="25" t="s">
        <v>13</v>
      </c>
      <c r="D88" s="1">
        <f aca="true" t="shared" si="25" ref="D88:E93">F88+H88+J88+L88</f>
        <v>180341.6</v>
      </c>
      <c r="E88" s="1">
        <f t="shared" si="25"/>
        <v>162018.30000000002</v>
      </c>
      <c r="F88" s="1">
        <f aca="true" t="shared" si="26" ref="F88:K88">F95+F102+F109+F116+F123+F130+F137+F144</f>
        <v>116756.20000000001</v>
      </c>
      <c r="G88" s="1">
        <f t="shared" si="26"/>
        <v>104347.90000000001</v>
      </c>
      <c r="H88" s="1">
        <f t="shared" si="26"/>
        <v>2500</v>
      </c>
      <c r="I88" s="1">
        <f t="shared" si="26"/>
        <v>0</v>
      </c>
      <c r="J88" s="1">
        <f t="shared" si="26"/>
        <v>27766.9</v>
      </c>
      <c r="K88" s="1">
        <f t="shared" si="26"/>
        <v>24351.9</v>
      </c>
      <c r="L88" s="1">
        <f aca="true" t="shared" si="27" ref="L88:M93">L95+L102+L109+L116+L123+L130+L137+L144</f>
        <v>33318.5</v>
      </c>
      <c r="M88" s="1">
        <f t="shared" si="27"/>
        <v>33318.5</v>
      </c>
      <c r="N88" s="37"/>
      <c r="O88" s="5"/>
      <c r="P88" s="15"/>
    </row>
    <row r="89" spans="1:17" s="16" customFormat="1" ht="15.75">
      <c r="A89" s="42"/>
      <c r="B89" s="40"/>
      <c r="C89" s="25" t="s">
        <v>14</v>
      </c>
      <c r="D89" s="1">
        <f t="shared" si="25"/>
        <v>198581.74</v>
      </c>
      <c r="E89" s="1">
        <f t="shared" si="25"/>
        <v>190856.8</v>
      </c>
      <c r="F89" s="1">
        <f aca="true" t="shared" si="28" ref="F89:K93">F96+F103+F110+F117+F124+F131+F138+F145</f>
        <v>111160.34</v>
      </c>
      <c r="G89" s="1">
        <f>G96+G103+G110+G117+G124+G131+G138+G145</f>
        <v>109486.4</v>
      </c>
      <c r="H89" s="1">
        <f t="shared" si="28"/>
        <v>2500</v>
      </c>
      <c r="I89" s="1">
        <f t="shared" si="28"/>
        <v>0</v>
      </c>
      <c r="J89" s="1">
        <f t="shared" si="28"/>
        <v>55847.399999999994</v>
      </c>
      <c r="K89" s="1">
        <f t="shared" si="28"/>
        <v>52296.399999999994</v>
      </c>
      <c r="L89" s="1">
        <f t="shared" si="27"/>
        <v>29074</v>
      </c>
      <c r="M89" s="1">
        <f t="shared" si="27"/>
        <v>29074</v>
      </c>
      <c r="N89" s="37"/>
      <c r="O89" s="5"/>
      <c r="P89" s="15">
        <f>F89-G89</f>
        <v>1673.9400000000023</v>
      </c>
      <c r="Q89" s="16" t="s">
        <v>64</v>
      </c>
    </row>
    <row r="90" spans="1:16" s="16" customFormat="1" ht="15.75">
      <c r="A90" s="42"/>
      <c r="B90" s="40"/>
      <c r="C90" s="25" t="s">
        <v>15</v>
      </c>
      <c r="D90" s="1">
        <f t="shared" si="25"/>
        <v>219602.53999999998</v>
      </c>
      <c r="E90" s="1">
        <f t="shared" si="25"/>
        <v>211834.39999999997</v>
      </c>
      <c r="F90" s="1">
        <f t="shared" si="28"/>
        <v>109396.34</v>
      </c>
      <c r="G90" s="1">
        <f t="shared" si="28"/>
        <v>107722.4</v>
      </c>
      <c r="H90" s="1">
        <f t="shared" si="28"/>
        <v>2500</v>
      </c>
      <c r="I90" s="1">
        <f t="shared" si="28"/>
        <v>0</v>
      </c>
      <c r="J90" s="1">
        <f t="shared" si="28"/>
        <v>78572.9</v>
      </c>
      <c r="K90" s="1">
        <f t="shared" si="28"/>
        <v>74978.7</v>
      </c>
      <c r="L90" s="1">
        <f t="shared" si="27"/>
        <v>29133.3</v>
      </c>
      <c r="M90" s="1">
        <f t="shared" si="27"/>
        <v>29133.3</v>
      </c>
      <c r="N90" s="37"/>
      <c r="O90" s="5"/>
      <c r="P90" s="15">
        <f>F90-G90</f>
        <v>1673.9400000000023</v>
      </c>
    </row>
    <row r="91" spans="1:16" s="16" customFormat="1" ht="15.75">
      <c r="A91" s="42"/>
      <c r="B91" s="40"/>
      <c r="C91" s="25" t="s">
        <v>16</v>
      </c>
      <c r="D91" s="1">
        <f t="shared" si="25"/>
        <v>234015.11999999997</v>
      </c>
      <c r="E91" s="1">
        <f t="shared" si="25"/>
        <v>136855.69999999998</v>
      </c>
      <c r="F91" s="1">
        <f t="shared" si="28"/>
        <v>109396.34</v>
      </c>
      <c r="G91" s="1">
        <f t="shared" si="28"/>
        <v>107722.4</v>
      </c>
      <c r="H91" s="1">
        <f t="shared" si="28"/>
        <v>2500</v>
      </c>
      <c r="I91" s="1">
        <f t="shared" si="28"/>
        <v>0</v>
      </c>
      <c r="J91" s="1">
        <f t="shared" si="28"/>
        <v>92985.47999999998</v>
      </c>
      <c r="K91" s="1">
        <f t="shared" si="28"/>
        <v>0</v>
      </c>
      <c r="L91" s="1">
        <f t="shared" si="27"/>
        <v>29133.3</v>
      </c>
      <c r="M91" s="1">
        <f t="shared" si="27"/>
        <v>29133.3</v>
      </c>
      <c r="N91" s="37"/>
      <c r="O91" s="5"/>
      <c r="P91" s="15">
        <f>F91-G91</f>
        <v>1673.9400000000023</v>
      </c>
    </row>
    <row r="92" spans="1:15" s="16" customFormat="1" ht="15.75">
      <c r="A92" s="42"/>
      <c r="B92" s="40"/>
      <c r="C92" s="25" t="s">
        <v>17</v>
      </c>
      <c r="D92" s="1">
        <f t="shared" si="25"/>
        <v>271905.076</v>
      </c>
      <c r="E92" s="1">
        <f t="shared" si="25"/>
        <v>0</v>
      </c>
      <c r="F92" s="1">
        <f t="shared" si="28"/>
        <v>129229.2</v>
      </c>
      <c r="G92" s="1">
        <f t="shared" si="28"/>
        <v>0</v>
      </c>
      <c r="H92" s="1">
        <f t="shared" si="28"/>
        <v>2500</v>
      </c>
      <c r="I92" s="1">
        <f t="shared" si="28"/>
        <v>0</v>
      </c>
      <c r="J92" s="1">
        <f t="shared" si="28"/>
        <v>111042.57599999999</v>
      </c>
      <c r="K92" s="1">
        <f t="shared" si="28"/>
        <v>0</v>
      </c>
      <c r="L92" s="1">
        <f t="shared" si="27"/>
        <v>29133.3</v>
      </c>
      <c r="M92" s="1">
        <f t="shared" si="27"/>
        <v>0</v>
      </c>
      <c r="N92" s="37"/>
      <c r="O92" s="5"/>
    </row>
    <row r="93" spans="1:15" s="16" customFormat="1" ht="15.75">
      <c r="A93" s="42"/>
      <c r="B93" s="40"/>
      <c r="C93" s="25" t="s">
        <v>18</v>
      </c>
      <c r="D93" s="1">
        <f t="shared" si="25"/>
        <v>306547.9112</v>
      </c>
      <c r="E93" s="1">
        <f t="shared" si="25"/>
        <v>0</v>
      </c>
      <c r="F93" s="1">
        <f t="shared" si="28"/>
        <v>142203.52000000002</v>
      </c>
      <c r="G93" s="1">
        <f t="shared" si="28"/>
        <v>0</v>
      </c>
      <c r="H93" s="1">
        <f t="shared" si="28"/>
        <v>2500</v>
      </c>
      <c r="I93" s="1">
        <f t="shared" si="28"/>
        <v>0</v>
      </c>
      <c r="J93" s="1">
        <f t="shared" si="28"/>
        <v>132711.09119999997</v>
      </c>
      <c r="K93" s="1">
        <f t="shared" si="28"/>
        <v>0</v>
      </c>
      <c r="L93" s="1">
        <f t="shared" si="27"/>
        <v>29133.3</v>
      </c>
      <c r="M93" s="1">
        <f t="shared" si="27"/>
        <v>0</v>
      </c>
      <c r="N93" s="37"/>
      <c r="O93" s="5"/>
    </row>
    <row r="94" spans="1:15" s="4" customFormat="1" ht="15.75" customHeight="1">
      <c r="A94" s="42"/>
      <c r="B94" s="34" t="s">
        <v>30</v>
      </c>
      <c r="C94" s="24" t="s">
        <v>12</v>
      </c>
      <c r="D94" s="1">
        <f aca="true" t="shared" si="29" ref="D94:M94">SUM(D95:D100)</f>
        <v>1355419.8016</v>
      </c>
      <c r="E94" s="1">
        <f t="shared" si="29"/>
        <v>693129.7999999999</v>
      </c>
      <c r="F94" s="2">
        <f t="shared" si="29"/>
        <v>703767.94</v>
      </c>
      <c r="G94" s="2">
        <f t="shared" si="29"/>
        <v>425241.5</v>
      </c>
      <c r="H94" s="2">
        <f t="shared" si="29"/>
        <v>0</v>
      </c>
      <c r="I94" s="2">
        <f t="shared" si="29"/>
        <v>0</v>
      </c>
      <c r="J94" s="2">
        <f t="shared" si="29"/>
        <v>479133.9615999999</v>
      </c>
      <c r="K94" s="2">
        <f t="shared" si="29"/>
        <v>151627</v>
      </c>
      <c r="L94" s="2">
        <f t="shared" si="29"/>
        <v>172517.9</v>
      </c>
      <c r="M94" s="2">
        <f t="shared" si="29"/>
        <v>116261.3</v>
      </c>
      <c r="N94" s="37"/>
      <c r="O94" s="3"/>
    </row>
    <row r="95" spans="1:15" ht="15.75">
      <c r="A95" s="42"/>
      <c r="B95" s="34"/>
      <c r="C95" s="24" t="s">
        <v>13</v>
      </c>
      <c r="D95" s="1">
        <f aca="true" t="shared" si="30" ref="D95:E100">F95+H95+J95+L95</f>
        <v>164731.80000000002</v>
      </c>
      <c r="E95" s="1">
        <f t="shared" si="30"/>
        <v>160327.90000000002</v>
      </c>
      <c r="F95" s="2">
        <f>7559.8-2100+G95-1400+344.1</f>
        <v>108642.20000000001</v>
      </c>
      <c r="G95" s="2">
        <v>104238.3</v>
      </c>
      <c r="H95" s="2">
        <v>0</v>
      </c>
      <c r="I95" s="2">
        <v>0</v>
      </c>
      <c r="J95" s="2">
        <f>K95</f>
        <v>24351.9</v>
      </c>
      <c r="K95" s="2">
        <v>24351.9</v>
      </c>
      <c r="L95" s="2">
        <v>31737.7</v>
      </c>
      <c r="M95" s="2">
        <f>L95</f>
        <v>31737.7</v>
      </c>
      <c r="N95" s="37"/>
      <c r="O95" s="5"/>
    </row>
    <row r="96" spans="1:16" ht="15.75">
      <c r="A96" s="42"/>
      <c r="B96" s="34"/>
      <c r="C96" s="24" t="s">
        <v>14</v>
      </c>
      <c r="D96" s="1">
        <f t="shared" si="30"/>
        <v>189594.74</v>
      </c>
      <c r="E96" s="1">
        <f t="shared" si="30"/>
        <v>187920.8</v>
      </c>
      <c r="F96" s="2">
        <f>G96+487.94+1186</f>
        <v>109104.34</v>
      </c>
      <c r="G96" s="2">
        <f>67815.5+39933.5+310.4+201-G110-G117-G124-G131</f>
        <v>107430.4</v>
      </c>
      <c r="H96" s="2">
        <v>0</v>
      </c>
      <c r="I96" s="2">
        <v>0</v>
      </c>
      <c r="J96" s="2">
        <f>K96</f>
        <v>52296.399999999994</v>
      </c>
      <c r="K96" s="2">
        <f>11345.3+36171.1+267.8+142.2+1662.6+2707.4</f>
        <v>52296.399999999994</v>
      </c>
      <c r="L96" s="2">
        <f>29074-L103-L110-L117-L124-L131</f>
        <v>28194</v>
      </c>
      <c r="M96" s="2">
        <f>L96</f>
        <v>28194</v>
      </c>
      <c r="N96" s="37"/>
      <c r="O96" s="5"/>
      <c r="P96" s="29">
        <f>F96-G96</f>
        <v>1673.9400000000023</v>
      </c>
    </row>
    <row r="97" spans="1:16" ht="15.75">
      <c r="A97" s="42"/>
      <c r="B97" s="34"/>
      <c r="C97" s="24" t="s">
        <v>15</v>
      </c>
      <c r="D97" s="1">
        <f t="shared" si="30"/>
        <v>211622.33999999997</v>
      </c>
      <c r="E97" s="1">
        <f t="shared" si="30"/>
        <v>209948.39999999997</v>
      </c>
      <c r="F97" s="2">
        <f>G97+487.94+1186</f>
        <v>108460.34</v>
      </c>
      <c r="G97" s="2">
        <f>67493.5+39611.5+310.4+201-G111-G118-G125-G132</f>
        <v>106786.4</v>
      </c>
      <c r="H97" s="2">
        <v>0</v>
      </c>
      <c r="I97" s="2">
        <v>0</v>
      </c>
      <c r="J97" s="2">
        <f>K97</f>
        <v>74978.7</v>
      </c>
      <c r="K97" s="2">
        <f>16761+53437.7+267.8+142.2+1662.6+2707.4</f>
        <v>74978.7</v>
      </c>
      <c r="L97" s="2">
        <f>29133.3-L104-L111-L118-L125-L132</f>
        <v>28183.3</v>
      </c>
      <c r="M97" s="2">
        <f>L97</f>
        <v>28183.3</v>
      </c>
      <c r="N97" s="37"/>
      <c r="O97" s="5"/>
      <c r="P97" s="29">
        <f>F97-G97</f>
        <v>1673.9400000000023</v>
      </c>
    </row>
    <row r="98" spans="1:16" ht="15.75">
      <c r="A98" s="42"/>
      <c r="B98" s="34"/>
      <c r="C98" s="24" t="s">
        <v>16</v>
      </c>
      <c r="D98" s="1">
        <f t="shared" si="30"/>
        <v>226581.07999999996</v>
      </c>
      <c r="E98" s="1">
        <f t="shared" si="30"/>
        <v>134932.69999999998</v>
      </c>
      <c r="F98" s="2">
        <f>G98+487.94+1186</f>
        <v>108460.34</v>
      </c>
      <c r="G98" s="2">
        <f>67493.5+39611.5+310.4+201-G112-G119-G126-G133</f>
        <v>106786.4</v>
      </c>
      <c r="H98" s="2">
        <v>0</v>
      </c>
      <c r="I98" s="2">
        <v>0</v>
      </c>
      <c r="J98" s="2">
        <f>1.2*J97</f>
        <v>89974.43999999999</v>
      </c>
      <c r="K98" s="2">
        <v>0</v>
      </c>
      <c r="L98" s="2">
        <f>29133.3-L105-L112-L119-L126-L133</f>
        <v>28146.3</v>
      </c>
      <c r="M98" s="2">
        <f>L98</f>
        <v>28146.3</v>
      </c>
      <c r="N98" s="37"/>
      <c r="O98" s="5"/>
      <c r="P98" s="29">
        <f>F98-G98</f>
        <v>1673.9400000000023</v>
      </c>
    </row>
    <row r="99" spans="1:15" ht="15.75">
      <c r="A99" s="42"/>
      <c r="B99" s="34"/>
      <c r="C99" s="24" t="s">
        <v>17</v>
      </c>
      <c r="D99" s="1">
        <f t="shared" si="30"/>
        <v>264247.828</v>
      </c>
      <c r="E99" s="1">
        <f t="shared" si="30"/>
        <v>0</v>
      </c>
      <c r="F99" s="2">
        <f>106786*1.2</f>
        <v>128143.2</v>
      </c>
      <c r="G99" s="2">
        <v>0</v>
      </c>
      <c r="H99" s="2">
        <v>0</v>
      </c>
      <c r="I99" s="2">
        <v>0</v>
      </c>
      <c r="J99" s="2">
        <f>1.2*J98</f>
        <v>107969.32799999998</v>
      </c>
      <c r="K99" s="2">
        <v>0</v>
      </c>
      <c r="L99" s="2">
        <f>29133.3-L106-L113-L120-L127-L134</f>
        <v>28135.3</v>
      </c>
      <c r="M99" s="2"/>
      <c r="N99" s="37"/>
      <c r="O99" s="5"/>
    </row>
    <row r="100" spans="1:15" ht="15.75">
      <c r="A100" s="42"/>
      <c r="B100" s="34"/>
      <c r="C100" s="24" t="s">
        <v>18</v>
      </c>
      <c r="D100" s="1">
        <f t="shared" si="30"/>
        <v>298642.0136</v>
      </c>
      <c r="E100" s="1">
        <f t="shared" si="30"/>
        <v>0</v>
      </c>
      <c r="F100" s="2">
        <f>128143.2*1.1</f>
        <v>140957.52000000002</v>
      </c>
      <c r="G100" s="2">
        <v>0</v>
      </c>
      <c r="H100" s="2">
        <v>0</v>
      </c>
      <c r="I100" s="2">
        <v>0</v>
      </c>
      <c r="J100" s="2">
        <f>1.2*J99</f>
        <v>129563.19359999997</v>
      </c>
      <c r="K100" s="2">
        <v>0</v>
      </c>
      <c r="L100" s="2">
        <f>29133.3-L107-L114-L121-L128-L135</f>
        <v>28121.3</v>
      </c>
      <c r="M100" s="2"/>
      <c r="N100" s="37"/>
      <c r="O100" s="5"/>
    </row>
    <row r="101" spans="1:15" s="4" customFormat="1" ht="15.75" customHeight="1">
      <c r="A101" s="42"/>
      <c r="B101" s="45" t="s">
        <v>31</v>
      </c>
      <c r="C101" s="24" t="s">
        <v>12</v>
      </c>
      <c r="D101" s="1">
        <f aca="true" t="shared" si="31" ref="D101:M101">SUM(D102:D107)</f>
        <v>2962</v>
      </c>
      <c r="E101" s="1">
        <f t="shared" si="31"/>
        <v>432</v>
      </c>
      <c r="F101" s="2">
        <f t="shared" si="31"/>
        <v>2250</v>
      </c>
      <c r="G101" s="2">
        <f t="shared" si="31"/>
        <v>0</v>
      </c>
      <c r="H101" s="2">
        <f t="shared" si="31"/>
        <v>0</v>
      </c>
      <c r="I101" s="2">
        <f t="shared" si="31"/>
        <v>0</v>
      </c>
      <c r="J101" s="2">
        <f t="shared" si="31"/>
        <v>0</v>
      </c>
      <c r="K101" s="2">
        <f t="shared" si="31"/>
        <v>0</v>
      </c>
      <c r="L101" s="2">
        <f t="shared" si="31"/>
        <v>712</v>
      </c>
      <c r="M101" s="2">
        <f t="shared" si="31"/>
        <v>432</v>
      </c>
      <c r="N101" s="37"/>
      <c r="O101" s="3"/>
    </row>
    <row r="102" spans="1:15" ht="15.75">
      <c r="A102" s="42"/>
      <c r="B102" s="45"/>
      <c r="C102" s="24" t="s">
        <v>13</v>
      </c>
      <c r="D102" s="1">
        <f aca="true" t="shared" si="32" ref="D102:E107">F102+H102+J102+L102</f>
        <v>2350</v>
      </c>
      <c r="E102" s="1">
        <f t="shared" si="32"/>
        <v>100</v>
      </c>
      <c r="F102" s="2">
        <v>2250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100</v>
      </c>
      <c r="M102" s="2">
        <f>L102</f>
        <v>100</v>
      </c>
      <c r="N102" s="37"/>
      <c r="O102" s="5"/>
    </row>
    <row r="103" spans="1:15" ht="15.75">
      <c r="A103" s="42"/>
      <c r="B103" s="45"/>
      <c r="C103" s="24" t="s">
        <v>14</v>
      </c>
      <c r="D103" s="1">
        <f t="shared" si="32"/>
        <v>100</v>
      </c>
      <c r="E103" s="1">
        <f t="shared" si="32"/>
        <v>100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100</v>
      </c>
      <c r="M103" s="2">
        <f>L103</f>
        <v>100</v>
      </c>
      <c r="N103" s="37"/>
      <c r="O103" s="5"/>
    </row>
    <row r="104" spans="1:15" ht="15.75">
      <c r="A104" s="42"/>
      <c r="B104" s="45"/>
      <c r="C104" s="24" t="s">
        <v>15</v>
      </c>
      <c r="D104" s="1">
        <f t="shared" si="32"/>
        <v>110</v>
      </c>
      <c r="E104" s="1">
        <f t="shared" si="32"/>
        <v>110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110</v>
      </c>
      <c r="M104" s="2">
        <f>L104</f>
        <v>110</v>
      </c>
      <c r="N104" s="37"/>
      <c r="O104" s="5"/>
    </row>
    <row r="105" spans="1:15" ht="15.75">
      <c r="A105" s="42"/>
      <c r="B105" s="45"/>
      <c r="C105" s="24" t="s">
        <v>16</v>
      </c>
      <c r="D105" s="1">
        <f t="shared" si="32"/>
        <v>122</v>
      </c>
      <c r="E105" s="1">
        <f t="shared" si="32"/>
        <v>122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122</v>
      </c>
      <c r="M105" s="2">
        <f>L105</f>
        <v>122</v>
      </c>
      <c r="N105" s="37"/>
      <c r="O105" s="5"/>
    </row>
    <row r="106" spans="1:15" ht="15.75">
      <c r="A106" s="42"/>
      <c r="B106" s="45"/>
      <c r="C106" s="24" t="s">
        <v>17</v>
      </c>
      <c r="D106" s="1">
        <f t="shared" si="32"/>
        <v>133</v>
      </c>
      <c r="E106" s="1">
        <f t="shared" si="32"/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133</v>
      </c>
      <c r="M106" s="2"/>
      <c r="N106" s="37"/>
      <c r="O106" s="5"/>
    </row>
    <row r="107" spans="1:15" ht="15.75">
      <c r="A107" s="42"/>
      <c r="B107" s="45"/>
      <c r="C107" s="24" t="s">
        <v>18</v>
      </c>
      <c r="D107" s="1">
        <f t="shared" si="32"/>
        <v>147</v>
      </c>
      <c r="E107" s="1">
        <f t="shared" si="32"/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147</v>
      </c>
      <c r="M107" s="2"/>
      <c r="N107" s="37"/>
      <c r="O107" s="5"/>
    </row>
    <row r="108" spans="1:15" s="4" customFormat="1" ht="15.75" customHeight="1">
      <c r="A108" s="42"/>
      <c r="B108" s="34" t="s">
        <v>32</v>
      </c>
      <c r="C108" s="24" t="s">
        <v>12</v>
      </c>
      <c r="D108" s="1">
        <f>SUM(D109:D114)</f>
        <v>38858</v>
      </c>
      <c r="E108" s="1">
        <f aca="true" t="shared" si="33" ref="E108:M108">SUM(E109:E114)</f>
        <v>1705</v>
      </c>
      <c r="F108" s="2">
        <f t="shared" si="33"/>
        <v>5128</v>
      </c>
      <c r="G108" s="2">
        <f t="shared" si="33"/>
        <v>380</v>
      </c>
      <c r="H108" s="2">
        <f t="shared" si="33"/>
        <v>15000</v>
      </c>
      <c r="I108" s="2">
        <f t="shared" si="33"/>
        <v>0</v>
      </c>
      <c r="J108" s="2">
        <f t="shared" si="33"/>
        <v>16805</v>
      </c>
      <c r="K108" s="2">
        <f t="shared" si="33"/>
        <v>0</v>
      </c>
      <c r="L108" s="2">
        <f t="shared" si="33"/>
        <v>1925</v>
      </c>
      <c r="M108" s="2">
        <f t="shared" si="33"/>
        <v>1325</v>
      </c>
      <c r="N108" s="37"/>
      <c r="O108" s="3"/>
    </row>
    <row r="109" spans="1:15" ht="15.75">
      <c r="A109" s="42"/>
      <c r="B109" s="34"/>
      <c r="C109" s="24" t="s">
        <v>13</v>
      </c>
      <c r="D109" s="1">
        <f aca="true" t="shared" si="34" ref="D109:E114">F109+H109+J109+L109</f>
        <v>10633</v>
      </c>
      <c r="E109" s="1">
        <f t="shared" si="34"/>
        <v>580</v>
      </c>
      <c r="F109" s="2">
        <f>418+4100+G109</f>
        <v>4598</v>
      </c>
      <c r="G109" s="2">
        <v>80</v>
      </c>
      <c r="H109" s="2">
        <v>2500</v>
      </c>
      <c r="I109" s="2">
        <v>0</v>
      </c>
      <c r="J109" s="2">
        <v>3035</v>
      </c>
      <c r="K109" s="2">
        <v>0</v>
      </c>
      <c r="L109" s="2">
        <v>500</v>
      </c>
      <c r="M109" s="2">
        <f>L109</f>
        <v>500</v>
      </c>
      <c r="N109" s="37"/>
      <c r="O109" s="5"/>
    </row>
    <row r="110" spans="1:15" ht="15.75">
      <c r="A110" s="42"/>
      <c r="B110" s="34"/>
      <c r="C110" s="24" t="s">
        <v>14</v>
      </c>
      <c r="D110" s="1">
        <f t="shared" si="34"/>
        <v>5985</v>
      </c>
      <c r="E110" s="1">
        <f t="shared" si="34"/>
        <v>350</v>
      </c>
      <c r="F110" s="2">
        <f>G110</f>
        <v>100</v>
      </c>
      <c r="G110" s="2">
        <v>100</v>
      </c>
      <c r="H110" s="2">
        <v>2500</v>
      </c>
      <c r="I110" s="2">
        <v>0</v>
      </c>
      <c r="J110" s="2">
        <v>3135</v>
      </c>
      <c r="K110" s="2">
        <v>0</v>
      </c>
      <c r="L110" s="2">
        <v>250</v>
      </c>
      <c r="M110" s="2">
        <f>L110</f>
        <v>250</v>
      </c>
      <c r="N110" s="37"/>
      <c r="O110" s="5"/>
    </row>
    <row r="111" spans="1:15" ht="15.75">
      <c r="A111" s="42"/>
      <c r="B111" s="34"/>
      <c r="C111" s="24" t="s">
        <v>15</v>
      </c>
      <c r="D111" s="1">
        <f t="shared" si="34"/>
        <v>6010</v>
      </c>
      <c r="E111" s="1">
        <f t="shared" si="34"/>
        <v>375</v>
      </c>
      <c r="F111" s="2">
        <f>G111</f>
        <v>100</v>
      </c>
      <c r="G111" s="2">
        <v>100</v>
      </c>
      <c r="H111" s="2">
        <v>2500</v>
      </c>
      <c r="I111" s="2">
        <v>0</v>
      </c>
      <c r="J111" s="2">
        <v>3135</v>
      </c>
      <c r="K111" s="2">
        <v>0</v>
      </c>
      <c r="L111" s="2">
        <v>275</v>
      </c>
      <c r="M111" s="2">
        <f>L111</f>
        <v>275</v>
      </c>
      <c r="N111" s="37"/>
      <c r="O111" s="5"/>
    </row>
    <row r="112" spans="1:15" ht="15.75">
      <c r="A112" s="42"/>
      <c r="B112" s="34"/>
      <c r="C112" s="24" t="s">
        <v>16</v>
      </c>
      <c r="D112" s="1">
        <f t="shared" si="34"/>
        <v>5400</v>
      </c>
      <c r="E112" s="1">
        <f t="shared" si="34"/>
        <v>400</v>
      </c>
      <c r="F112" s="2">
        <f>G112</f>
        <v>100</v>
      </c>
      <c r="G112" s="2">
        <v>100</v>
      </c>
      <c r="H112" s="2">
        <v>2500</v>
      </c>
      <c r="I112" s="2">
        <v>0</v>
      </c>
      <c r="J112" s="2">
        <v>2500</v>
      </c>
      <c r="K112" s="2">
        <v>0</v>
      </c>
      <c r="L112" s="2">
        <v>300</v>
      </c>
      <c r="M112" s="2">
        <f>L112</f>
        <v>300</v>
      </c>
      <c r="N112" s="37"/>
      <c r="O112" s="5"/>
    </row>
    <row r="113" spans="1:15" ht="15.75">
      <c r="A113" s="42"/>
      <c r="B113" s="34"/>
      <c r="C113" s="24" t="s">
        <v>17</v>
      </c>
      <c r="D113" s="1">
        <f t="shared" si="34"/>
        <v>5410</v>
      </c>
      <c r="E113" s="1">
        <f t="shared" si="34"/>
        <v>0</v>
      </c>
      <c r="F113" s="2">
        <f>1.1*100</f>
        <v>110.00000000000001</v>
      </c>
      <c r="G113" s="2">
        <v>0</v>
      </c>
      <c r="H113" s="2">
        <v>2500</v>
      </c>
      <c r="I113" s="2">
        <v>0</v>
      </c>
      <c r="J113" s="2">
        <v>2500</v>
      </c>
      <c r="K113" s="2">
        <v>0</v>
      </c>
      <c r="L113" s="2">
        <v>300</v>
      </c>
      <c r="M113" s="2"/>
      <c r="N113" s="37"/>
      <c r="O113" s="5"/>
    </row>
    <row r="114" spans="1:15" ht="15.75">
      <c r="A114" s="42"/>
      <c r="B114" s="34"/>
      <c r="C114" s="24" t="s">
        <v>18</v>
      </c>
      <c r="D114" s="1">
        <f t="shared" si="34"/>
        <v>5420</v>
      </c>
      <c r="E114" s="1">
        <f t="shared" si="34"/>
        <v>0</v>
      </c>
      <c r="F114" s="2">
        <v>120</v>
      </c>
      <c r="G114" s="2">
        <v>0</v>
      </c>
      <c r="H114" s="2">
        <v>2500</v>
      </c>
      <c r="I114" s="2">
        <v>0</v>
      </c>
      <c r="J114" s="2">
        <v>2500</v>
      </c>
      <c r="K114" s="2">
        <v>0</v>
      </c>
      <c r="L114" s="2">
        <v>300</v>
      </c>
      <c r="M114" s="2"/>
      <c r="N114" s="37"/>
      <c r="O114" s="5"/>
    </row>
    <row r="115" spans="1:15" s="4" customFormat="1" ht="15.75" customHeight="1">
      <c r="A115" s="42"/>
      <c r="B115" s="34" t="s">
        <v>33</v>
      </c>
      <c r="C115" s="24" t="s">
        <v>12</v>
      </c>
      <c r="D115" s="1">
        <f>SUM(D116:D121)</f>
        <v>2050</v>
      </c>
      <c r="E115" s="1">
        <f aca="true" t="shared" si="35" ref="E115:M115">SUM(E116:E121)</f>
        <v>1020</v>
      </c>
      <c r="F115" s="2">
        <f t="shared" si="35"/>
        <v>970</v>
      </c>
      <c r="G115" s="2">
        <f t="shared" si="35"/>
        <v>300</v>
      </c>
      <c r="H115" s="2">
        <f t="shared" si="35"/>
        <v>0</v>
      </c>
      <c r="I115" s="2">
        <f t="shared" si="35"/>
        <v>0</v>
      </c>
      <c r="J115" s="2">
        <f t="shared" si="35"/>
        <v>0</v>
      </c>
      <c r="K115" s="2">
        <f t="shared" si="35"/>
        <v>0</v>
      </c>
      <c r="L115" s="2">
        <f t="shared" si="35"/>
        <v>1080</v>
      </c>
      <c r="M115" s="2">
        <f t="shared" si="35"/>
        <v>720</v>
      </c>
      <c r="N115" s="37"/>
      <c r="O115" s="3"/>
    </row>
    <row r="116" spans="1:15" ht="15.75">
      <c r="A116" s="42"/>
      <c r="B116" s="34"/>
      <c r="C116" s="24" t="s">
        <v>13</v>
      </c>
      <c r="D116" s="1">
        <f aca="true" t="shared" si="36" ref="D116:E121">F116+H116+J116+L116</f>
        <v>620</v>
      </c>
      <c r="E116" s="1">
        <f t="shared" si="36"/>
        <v>180</v>
      </c>
      <c r="F116" s="2">
        <f>440+G116</f>
        <v>440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180</v>
      </c>
      <c r="M116" s="2">
        <f>L116</f>
        <v>180</v>
      </c>
      <c r="N116" s="37"/>
      <c r="O116" s="5"/>
    </row>
    <row r="117" spans="1:15" ht="15.75">
      <c r="A117" s="42"/>
      <c r="B117" s="34"/>
      <c r="C117" s="24" t="s">
        <v>14</v>
      </c>
      <c r="D117" s="1">
        <f t="shared" si="36"/>
        <v>280</v>
      </c>
      <c r="E117" s="1">
        <f t="shared" si="36"/>
        <v>280</v>
      </c>
      <c r="F117" s="2">
        <f>G117</f>
        <v>100</v>
      </c>
      <c r="G117" s="2">
        <v>100</v>
      </c>
      <c r="H117" s="2">
        <v>0</v>
      </c>
      <c r="I117" s="2">
        <v>0</v>
      </c>
      <c r="J117" s="2">
        <v>0</v>
      </c>
      <c r="K117" s="2">
        <v>0</v>
      </c>
      <c r="L117" s="2">
        <v>180</v>
      </c>
      <c r="M117" s="2">
        <f>L117</f>
        <v>180</v>
      </c>
      <c r="N117" s="37"/>
      <c r="O117" s="5"/>
    </row>
    <row r="118" spans="1:15" ht="15.75">
      <c r="A118" s="42"/>
      <c r="B118" s="34"/>
      <c r="C118" s="24" t="s">
        <v>15</v>
      </c>
      <c r="D118" s="1">
        <f t="shared" si="36"/>
        <v>280</v>
      </c>
      <c r="E118" s="1">
        <f t="shared" si="36"/>
        <v>280</v>
      </c>
      <c r="F118" s="2">
        <f>G118</f>
        <v>100</v>
      </c>
      <c r="G118" s="2">
        <v>100</v>
      </c>
      <c r="H118" s="2">
        <v>0</v>
      </c>
      <c r="I118" s="2">
        <v>0</v>
      </c>
      <c r="J118" s="2">
        <v>0</v>
      </c>
      <c r="K118" s="2">
        <v>0</v>
      </c>
      <c r="L118" s="2">
        <v>180</v>
      </c>
      <c r="M118" s="2">
        <f>L118</f>
        <v>180</v>
      </c>
      <c r="N118" s="37"/>
      <c r="O118" s="5"/>
    </row>
    <row r="119" spans="1:15" ht="15.75">
      <c r="A119" s="42"/>
      <c r="B119" s="34"/>
      <c r="C119" s="24" t="s">
        <v>16</v>
      </c>
      <c r="D119" s="1">
        <f t="shared" si="36"/>
        <v>280</v>
      </c>
      <c r="E119" s="1">
        <f t="shared" si="36"/>
        <v>280</v>
      </c>
      <c r="F119" s="2">
        <f>G119</f>
        <v>100</v>
      </c>
      <c r="G119" s="2">
        <v>100</v>
      </c>
      <c r="H119" s="2">
        <v>0</v>
      </c>
      <c r="I119" s="2">
        <v>0</v>
      </c>
      <c r="J119" s="2">
        <v>0</v>
      </c>
      <c r="K119" s="2">
        <v>0</v>
      </c>
      <c r="L119" s="2">
        <v>180</v>
      </c>
      <c r="M119" s="2">
        <f>L119</f>
        <v>180</v>
      </c>
      <c r="N119" s="37"/>
      <c r="O119" s="5"/>
    </row>
    <row r="120" spans="1:15" ht="15.75">
      <c r="A120" s="42"/>
      <c r="B120" s="34"/>
      <c r="C120" s="24" t="s">
        <v>17</v>
      </c>
      <c r="D120" s="1">
        <f t="shared" si="36"/>
        <v>290</v>
      </c>
      <c r="E120" s="1">
        <f t="shared" si="36"/>
        <v>0</v>
      </c>
      <c r="F120" s="2">
        <v>110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180</v>
      </c>
      <c r="M120" s="2"/>
      <c r="N120" s="37"/>
      <c r="O120" s="5"/>
    </row>
    <row r="121" spans="1:15" ht="15.75">
      <c r="A121" s="42"/>
      <c r="B121" s="34"/>
      <c r="C121" s="24" t="s">
        <v>18</v>
      </c>
      <c r="D121" s="1">
        <f t="shared" si="36"/>
        <v>300</v>
      </c>
      <c r="E121" s="1">
        <f t="shared" si="36"/>
        <v>0</v>
      </c>
      <c r="F121" s="2">
        <v>120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180</v>
      </c>
      <c r="M121" s="2"/>
      <c r="N121" s="37"/>
      <c r="O121" s="5"/>
    </row>
    <row r="122" spans="1:15" s="4" customFormat="1" ht="18.75" customHeight="1">
      <c r="A122" s="42"/>
      <c r="B122" s="34" t="s">
        <v>48</v>
      </c>
      <c r="C122" s="24" t="s">
        <v>12</v>
      </c>
      <c r="D122" s="1">
        <f>SUM(D123:D128)</f>
        <v>2839.1856</v>
      </c>
      <c r="E122" s="1">
        <f aca="true" t="shared" si="37" ref="E122:M122">SUM(E123:E128)</f>
        <v>551.4</v>
      </c>
      <c r="F122" s="2">
        <f t="shared" si="37"/>
        <v>400</v>
      </c>
      <c r="G122" s="2">
        <f t="shared" si="37"/>
        <v>119.6</v>
      </c>
      <c r="H122" s="2">
        <f t="shared" si="37"/>
        <v>0</v>
      </c>
      <c r="I122" s="2">
        <f t="shared" si="37"/>
        <v>0</v>
      </c>
      <c r="J122" s="2">
        <f t="shared" si="37"/>
        <v>1787.3855999999996</v>
      </c>
      <c r="K122" s="2">
        <f t="shared" si="37"/>
        <v>0</v>
      </c>
      <c r="L122" s="2">
        <f t="shared" si="37"/>
        <v>651.8</v>
      </c>
      <c r="M122" s="2">
        <f t="shared" si="37"/>
        <v>431.8</v>
      </c>
      <c r="N122" s="37"/>
      <c r="O122" s="3"/>
    </row>
    <row r="123" spans="1:15" ht="18.75" customHeight="1">
      <c r="A123" s="42"/>
      <c r="B123" s="34"/>
      <c r="C123" s="24" t="s">
        <v>13</v>
      </c>
      <c r="D123" s="1">
        <f aca="true" t="shared" si="38" ref="D123:E128">F123+H123+J123+L123</f>
        <v>511.8</v>
      </c>
      <c r="E123" s="1">
        <f t="shared" si="38"/>
        <v>141.4</v>
      </c>
      <c r="F123" s="2">
        <v>220</v>
      </c>
      <c r="G123" s="2">
        <v>29.6</v>
      </c>
      <c r="H123" s="2"/>
      <c r="I123" s="2"/>
      <c r="J123" s="2">
        <v>180</v>
      </c>
      <c r="K123" s="2"/>
      <c r="L123" s="2">
        <v>111.8</v>
      </c>
      <c r="M123" s="2">
        <f>L123</f>
        <v>111.8</v>
      </c>
      <c r="N123" s="37"/>
      <c r="O123" s="5"/>
    </row>
    <row r="124" spans="1:15" ht="18.75" customHeight="1">
      <c r="A124" s="42"/>
      <c r="B124" s="34"/>
      <c r="C124" s="24" t="s">
        <v>14</v>
      </c>
      <c r="D124" s="1">
        <f t="shared" si="38"/>
        <v>346</v>
      </c>
      <c r="E124" s="1">
        <f t="shared" si="38"/>
        <v>130</v>
      </c>
      <c r="F124" s="2">
        <f>G124</f>
        <v>30</v>
      </c>
      <c r="G124" s="2">
        <v>30</v>
      </c>
      <c r="H124" s="2"/>
      <c r="I124" s="2"/>
      <c r="J124" s="2">
        <f>1.2*J123</f>
        <v>216</v>
      </c>
      <c r="K124" s="2"/>
      <c r="L124" s="2">
        <v>100</v>
      </c>
      <c r="M124" s="2">
        <f>L124</f>
        <v>100</v>
      </c>
      <c r="N124" s="37"/>
      <c r="O124" s="5"/>
    </row>
    <row r="125" spans="1:15" ht="18.75" customHeight="1">
      <c r="A125" s="42"/>
      <c r="B125" s="34"/>
      <c r="C125" s="24" t="s">
        <v>15</v>
      </c>
      <c r="D125" s="1">
        <f t="shared" si="38"/>
        <v>399.2</v>
      </c>
      <c r="E125" s="1">
        <f t="shared" si="38"/>
        <v>140</v>
      </c>
      <c r="F125" s="2">
        <f>G125</f>
        <v>30</v>
      </c>
      <c r="G125" s="2">
        <v>30</v>
      </c>
      <c r="H125" s="2"/>
      <c r="I125" s="2"/>
      <c r="J125" s="2">
        <f>1.2*J124</f>
        <v>259.2</v>
      </c>
      <c r="K125" s="2"/>
      <c r="L125" s="2">
        <v>110</v>
      </c>
      <c r="M125" s="2">
        <f>L125</f>
        <v>110</v>
      </c>
      <c r="N125" s="37"/>
      <c r="O125" s="5"/>
    </row>
    <row r="126" spans="1:15" ht="18.75" customHeight="1">
      <c r="A126" s="42"/>
      <c r="B126" s="34"/>
      <c r="C126" s="24" t="s">
        <v>16</v>
      </c>
      <c r="D126" s="1">
        <f t="shared" si="38"/>
        <v>451.03999999999996</v>
      </c>
      <c r="E126" s="1">
        <f t="shared" si="38"/>
        <v>140</v>
      </c>
      <c r="F126" s="2">
        <f>G126</f>
        <v>30</v>
      </c>
      <c r="G126" s="2">
        <v>30</v>
      </c>
      <c r="H126" s="2"/>
      <c r="I126" s="2"/>
      <c r="J126" s="2">
        <f>1.2*J125</f>
        <v>311.03999999999996</v>
      </c>
      <c r="K126" s="2"/>
      <c r="L126" s="2">
        <v>110</v>
      </c>
      <c r="M126" s="2">
        <f>L126</f>
        <v>110</v>
      </c>
      <c r="N126" s="37"/>
      <c r="O126" s="5"/>
    </row>
    <row r="127" spans="1:15" ht="18.75" customHeight="1">
      <c r="A127" s="42"/>
      <c r="B127" s="34"/>
      <c r="C127" s="24" t="s">
        <v>17</v>
      </c>
      <c r="D127" s="1">
        <f t="shared" si="38"/>
        <v>523.2479999999999</v>
      </c>
      <c r="E127" s="1">
        <f t="shared" si="38"/>
        <v>0</v>
      </c>
      <c r="F127" s="2">
        <v>40</v>
      </c>
      <c r="G127" s="2">
        <v>0</v>
      </c>
      <c r="H127" s="2"/>
      <c r="I127" s="2"/>
      <c r="J127" s="2">
        <f>1.2*J126</f>
        <v>373.24799999999993</v>
      </c>
      <c r="K127" s="2"/>
      <c r="L127" s="2">
        <v>110</v>
      </c>
      <c r="M127" s="2"/>
      <c r="N127" s="37"/>
      <c r="O127" s="5"/>
    </row>
    <row r="128" spans="1:15" ht="18.75" customHeight="1">
      <c r="A128" s="42"/>
      <c r="B128" s="34"/>
      <c r="C128" s="24" t="s">
        <v>18</v>
      </c>
      <c r="D128" s="1">
        <f t="shared" si="38"/>
        <v>607.8975999999999</v>
      </c>
      <c r="E128" s="1">
        <f t="shared" si="38"/>
        <v>0</v>
      </c>
      <c r="F128" s="2">
        <v>50</v>
      </c>
      <c r="G128" s="2">
        <v>0</v>
      </c>
      <c r="H128" s="2"/>
      <c r="I128" s="2"/>
      <c r="J128" s="2">
        <f>1.2*J127</f>
        <v>447.8975999999999</v>
      </c>
      <c r="K128" s="2"/>
      <c r="L128" s="2">
        <v>110</v>
      </c>
      <c r="M128" s="2"/>
      <c r="N128" s="37"/>
      <c r="O128" s="5"/>
    </row>
    <row r="129" spans="1:15" s="4" customFormat="1" ht="21" customHeight="1">
      <c r="A129" s="42"/>
      <c r="B129" s="34" t="s">
        <v>51</v>
      </c>
      <c r="C129" s="24" t="s">
        <v>12</v>
      </c>
      <c r="D129" s="1">
        <f>SUM(D130:D135)</f>
        <v>7020</v>
      </c>
      <c r="E129" s="1">
        <f aca="true" t="shared" si="39" ref="E129:M129">SUM(E130:E135)</f>
        <v>3200</v>
      </c>
      <c r="F129" s="2">
        <f t="shared" si="39"/>
        <v>3870</v>
      </c>
      <c r="G129" s="2">
        <f t="shared" si="39"/>
        <v>1800</v>
      </c>
      <c r="H129" s="2">
        <f t="shared" si="39"/>
        <v>0</v>
      </c>
      <c r="I129" s="2">
        <f t="shared" si="39"/>
        <v>0</v>
      </c>
      <c r="J129" s="2">
        <f t="shared" si="39"/>
        <v>1200</v>
      </c>
      <c r="K129" s="2">
        <f t="shared" si="39"/>
        <v>0</v>
      </c>
      <c r="L129" s="2">
        <f>SUM(L130:L135)</f>
        <v>1950</v>
      </c>
      <c r="M129" s="2">
        <f t="shared" si="39"/>
        <v>1400</v>
      </c>
      <c r="N129" s="37"/>
      <c r="O129" s="3"/>
    </row>
    <row r="130" spans="1:15" ht="21" customHeight="1">
      <c r="A130" s="42"/>
      <c r="B130" s="34"/>
      <c r="C130" s="24" t="s">
        <v>13</v>
      </c>
      <c r="D130" s="1">
        <f aca="true" t="shared" si="40" ref="D130:E135">F130+H130+J130+L130</f>
        <v>1300</v>
      </c>
      <c r="E130" s="1">
        <f t="shared" si="40"/>
        <v>600</v>
      </c>
      <c r="F130" s="2">
        <f>500+G130</f>
        <v>500</v>
      </c>
      <c r="G130" s="2">
        <v>0</v>
      </c>
      <c r="H130" s="2"/>
      <c r="I130" s="2"/>
      <c r="J130" s="2">
        <v>200</v>
      </c>
      <c r="K130" s="2">
        <v>0</v>
      </c>
      <c r="L130" s="2">
        <v>600</v>
      </c>
      <c r="M130" s="2">
        <f>L130</f>
        <v>600</v>
      </c>
      <c r="N130" s="37"/>
      <c r="O130" s="5"/>
    </row>
    <row r="131" spans="1:15" ht="21" customHeight="1">
      <c r="A131" s="42"/>
      <c r="B131" s="34"/>
      <c r="C131" s="24" t="s">
        <v>14</v>
      </c>
      <c r="D131" s="1">
        <f t="shared" si="40"/>
        <v>1050</v>
      </c>
      <c r="E131" s="1">
        <f t="shared" si="40"/>
        <v>850</v>
      </c>
      <c r="F131" s="2">
        <f>G131</f>
        <v>600</v>
      </c>
      <c r="G131" s="2">
        <v>600</v>
      </c>
      <c r="H131" s="2"/>
      <c r="I131" s="2"/>
      <c r="J131" s="2">
        <v>200</v>
      </c>
      <c r="K131" s="2"/>
      <c r="L131" s="2">
        <v>250</v>
      </c>
      <c r="M131" s="2">
        <f>L131</f>
        <v>250</v>
      </c>
      <c r="N131" s="37"/>
      <c r="O131" s="5"/>
    </row>
    <row r="132" spans="1:15" ht="21" customHeight="1">
      <c r="A132" s="42"/>
      <c r="B132" s="34"/>
      <c r="C132" s="24" t="s">
        <v>15</v>
      </c>
      <c r="D132" s="1">
        <f t="shared" si="40"/>
        <v>1075</v>
      </c>
      <c r="E132" s="1">
        <f t="shared" si="40"/>
        <v>875</v>
      </c>
      <c r="F132" s="2">
        <f>G132</f>
        <v>600</v>
      </c>
      <c r="G132" s="2">
        <v>600</v>
      </c>
      <c r="H132" s="2"/>
      <c r="I132" s="2"/>
      <c r="J132" s="2">
        <v>200</v>
      </c>
      <c r="K132" s="2"/>
      <c r="L132" s="2">
        <v>275</v>
      </c>
      <c r="M132" s="2">
        <f>L132</f>
        <v>275</v>
      </c>
      <c r="N132" s="37"/>
      <c r="O132" s="5"/>
    </row>
    <row r="133" spans="1:15" ht="21" customHeight="1">
      <c r="A133" s="42"/>
      <c r="B133" s="34"/>
      <c r="C133" s="24" t="s">
        <v>16</v>
      </c>
      <c r="D133" s="1">
        <f t="shared" si="40"/>
        <v>1075</v>
      </c>
      <c r="E133" s="1">
        <f t="shared" si="40"/>
        <v>875</v>
      </c>
      <c r="F133" s="2">
        <f>G133</f>
        <v>600</v>
      </c>
      <c r="G133" s="2">
        <v>600</v>
      </c>
      <c r="H133" s="2"/>
      <c r="I133" s="2"/>
      <c r="J133" s="2">
        <v>200</v>
      </c>
      <c r="K133" s="2"/>
      <c r="L133" s="2">
        <v>275</v>
      </c>
      <c r="M133" s="2">
        <f>L133</f>
        <v>275</v>
      </c>
      <c r="N133" s="37"/>
      <c r="O133" s="5"/>
    </row>
    <row r="134" spans="1:15" ht="21" customHeight="1">
      <c r="A134" s="42"/>
      <c r="B134" s="34"/>
      <c r="C134" s="24" t="s">
        <v>17</v>
      </c>
      <c r="D134" s="1">
        <f t="shared" si="40"/>
        <v>1195</v>
      </c>
      <c r="E134" s="1">
        <f t="shared" si="40"/>
        <v>0</v>
      </c>
      <c r="F134" s="2">
        <v>720</v>
      </c>
      <c r="G134" s="2">
        <v>0</v>
      </c>
      <c r="H134" s="2"/>
      <c r="I134" s="2"/>
      <c r="J134" s="2">
        <v>200</v>
      </c>
      <c r="K134" s="2"/>
      <c r="L134" s="2">
        <v>275</v>
      </c>
      <c r="M134" s="2"/>
      <c r="N134" s="37"/>
      <c r="O134" s="5"/>
    </row>
    <row r="135" spans="1:15" ht="21" customHeight="1">
      <c r="A135" s="42"/>
      <c r="B135" s="34"/>
      <c r="C135" s="24" t="s">
        <v>18</v>
      </c>
      <c r="D135" s="1">
        <f t="shared" si="40"/>
        <v>1325</v>
      </c>
      <c r="E135" s="1">
        <f t="shared" si="40"/>
        <v>0</v>
      </c>
      <c r="F135" s="2">
        <v>850</v>
      </c>
      <c r="G135" s="2">
        <v>0</v>
      </c>
      <c r="H135" s="2"/>
      <c r="I135" s="2"/>
      <c r="J135" s="2">
        <v>200</v>
      </c>
      <c r="K135" s="2"/>
      <c r="L135" s="2">
        <v>275</v>
      </c>
      <c r="M135" s="2"/>
      <c r="N135" s="37"/>
      <c r="O135" s="5"/>
    </row>
    <row r="136" spans="1:15" s="17" customFormat="1" ht="15.75" customHeight="1" hidden="1">
      <c r="A136" s="42"/>
      <c r="B136" s="34" t="s">
        <v>34</v>
      </c>
      <c r="C136" s="24" t="s">
        <v>12</v>
      </c>
      <c r="D136" s="1">
        <f>SUM(D137:D142)</f>
        <v>0</v>
      </c>
      <c r="E136" s="1">
        <f aca="true" t="shared" si="41" ref="E136:M136">SUM(E137:E142)</f>
        <v>0</v>
      </c>
      <c r="F136" s="2">
        <f t="shared" si="41"/>
        <v>0</v>
      </c>
      <c r="G136" s="2">
        <f t="shared" si="41"/>
        <v>0</v>
      </c>
      <c r="H136" s="2">
        <f t="shared" si="41"/>
        <v>0</v>
      </c>
      <c r="I136" s="2">
        <f t="shared" si="41"/>
        <v>0</v>
      </c>
      <c r="J136" s="2">
        <f t="shared" si="41"/>
        <v>0</v>
      </c>
      <c r="K136" s="2">
        <f t="shared" si="41"/>
        <v>0</v>
      </c>
      <c r="L136" s="2">
        <f t="shared" si="41"/>
        <v>0</v>
      </c>
      <c r="M136" s="2">
        <f t="shared" si="41"/>
        <v>0</v>
      </c>
      <c r="N136" s="37"/>
      <c r="O136" s="3"/>
    </row>
    <row r="137" spans="1:15" s="21" customFormat="1" ht="15.75" customHeight="1" hidden="1">
      <c r="A137" s="42"/>
      <c r="B137" s="34"/>
      <c r="C137" s="24" t="s">
        <v>13</v>
      </c>
      <c r="D137" s="1">
        <f aca="true" t="shared" si="42" ref="D137:E142">F137+H137+J137+L137</f>
        <v>0</v>
      </c>
      <c r="E137" s="1">
        <f t="shared" si="42"/>
        <v>0</v>
      </c>
      <c r="F137" s="2"/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f aca="true" t="shared" si="43" ref="L137:L142">M137</f>
        <v>0</v>
      </c>
      <c r="M137" s="2">
        <v>0</v>
      </c>
      <c r="N137" s="37"/>
      <c r="O137" s="5"/>
    </row>
    <row r="138" spans="1:15" s="21" customFormat="1" ht="15.75" customHeight="1" hidden="1">
      <c r="A138" s="42"/>
      <c r="B138" s="34"/>
      <c r="C138" s="24" t="s">
        <v>14</v>
      </c>
      <c r="D138" s="1">
        <f t="shared" si="42"/>
        <v>0</v>
      </c>
      <c r="E138" s="1">
        <f t="shared" si="42"/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f t="shared" si="43"/>
        <v>0</v>
      </c>
      <c r="M138" s="2">
        <v>0</v>
      </c>
      <c r="N138" s="37"/>
      <c r="O138" s="5"/>
    </row>
    <row r="139" spans="1:15" s="21" customFormat="1" ht="15.75" customHeight="1" hidden="1">
      <c r="A139" s="42"/>
      <c r="B139" s="34"/>
      <c r="C139" s="24" t="s">
        <v>15</v>
      </c>
      <c r="D139" s="1">
        <f t="shared" si="42"/>
        <v>0</v>
      </c>
      <c r="E139" s="1">
        <f t="shared" si="42"/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f t="shared" si="43"/>
        <v>0</v>
      </c>
      <c r="M139" s="2">
        <v>0</v>
      </c>
      <c r="N139" s="37"/>
      <c r="O139" s="5"/>
    </row>
    <row r="140" spans="1:15" s="21" customFormat="1" ht="15.75" customHeight="1" hidden="1">
      <c r="A140" s="42"/>
      <c r="B140" s="34"/>
      <c r="C140" s="24" t="s">
        <v>16</v>
      </c>
      <c r="D140" s="1">
        <f t="shared" si="42"/>
        <v>0</v>
      </c>
      <c r="E140" s="1">
        <f t="shared" si="42"/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f t="shared" si="43"/>
        <v>0</v>
      </c>
      <c r="M140" s="2">
        <v>0</v>
      </c>
      <c r="N140" s="37"/>
      <c r="O140" s="5"/>
    </row>
    <row r="141" spans="1:15" s="21" customFormat="1" ht="15.75" customHeight="1" hidden="1">
      <c r="A141" s="42"/>
      <c r="B141" s="34"/>
      <c r="C141" s="24" t="s">
        <v>17</v>
      </c>
      <c r="D141" s="1">
        <f t="shared" si="42"/>
        <v>0</v>
      </c>
      <c r="E141" s="1">
        <f t="shared" si="42"/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f t="shared" si="43"/>
        <v>0</v>
      </c>
      <c r="M141" s="2">
        <v>0</v>
      </c>
      <c r="N141" s="37"/>
      <c r="O141" s="5"/>
    </row>
    <row r="142" spans="1:15" s="21" customFormat="1" ht="15.75" customHeight="1" hidden="1">
      <c r="A142" s="42"/>
      <c r="B142" s="34"/>
      <c r="C142" s="24" t="s">
        <v>18</v>
      </c>
      <c r="D142" s="1">
        <f t="shared" si="42"/>
        <v>0</v>
      </c>
      <c r="E142" s="1">
        <f t="shared" si="42"/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f t="shared" si="43"/>
        <v>0</v>
      </c>
      <c r="M142" s="2">
        <v>0</v>
      </c>
      <c r="N142" s="37"/>
      <c r="O142" s="5"/>
    </row>
    <row r="143" spans="1:15" s="4" customFormat="1" ht="15.75" customHeight="1">
      <c r="A143" s="42"/>
      <c r="B143" s="44" t="s">
        <v>44</v>
      </c>
      <c r="C143" s="24" t="s">
        <v>12</v>
      </c>
      <c r="D143" s="1">
        <f>SUM(D144:D149)</f>
        <v>1845</v>
      </c>
      <c r="E143" s="1">
        <f aca="true" t="shared" si="44" ref="E143:L143">SUM(E144:E149)</f>
        <v>1527</v>
      </c>
      <c r="F143" s="1">
        <f t="shared" si="44"/>
        <v>1756</v>
      </c>
      <c r="G143" s="1">
        <f t="shared" si="44"/>
        <v>1438</v>
      </c>
      <c r="H143" s="2">
        <f t="shared" si="44"/>
        <v>0</v>
      </c>
      <c r="I143" s="2">
        <f t="shared" si="44"/>
        <v>0</v>
      </c>
      <c r="J143" s="2">
        <f t="shared" si="44"/>
        <v>0</v>
      </c>
      <c r="K143" s="2">
        <f t="shared" si="44"/>
        <v>0</v>
      </c>
      <c r="L143" s="1">
        <f t="shared" si="44"/>
        <v>89</v>
      </c>
      <c r="M143" s="1">
        <f>SUM(M144:M149)</f>
        <v>89</v>
      </c>
      <c r="N143" s="37"/>
      <c r="O143" s="3"/>
    </row>
    <row r="144" spans="1:15" ht="15.75">
      <c r="A144" s="42"/>
      <c r="B144" s="44"/>
      <c r="C144" s="24" t="s">
        <v>13</v>
      </c>
      <c r="D144" s="1">
        <f aca="true" t="shared" si="45" ref="D144:E149">F144+H144+J144+L144</f>
        <v>195</v>
      </c>
      <c r="E144" s="1">
        <f t="shared" si="45"/>
        <v>89</v>
      </c>
      <c r="F144" s="2">
        <v>106</v>
      </c>
      <c r="G144" s="2">
        <v>0</v>
      </c>
      <c r="H144" s="2"/>
      <c r="I144" s="2"/>
      <c r="J144" s="2">
        <v>0</v>
      </c>
      <c r="K144" s="2"/>
      <c r="L144" s="2">
        <v>89</v>
      </c>
      <c r="M144" s="2">
        <f>L144</f>
        <v>89</v>
      </c>
      <c r="N144" s="37"/>
      <c r="O144" s="5"/>
    </row>
    <row r="145" spans="1:15" ht="15.75">
      <c r="A145" s="42"/>
      <c r="B145" s="44"/>
      <c r="C145" s="24" t="s">
        <v>14</v>
      </c>
      <c r="D145" s="1">
        <f t="shared" si="45"/>
        <v>1226</v>
      </c>
      <c r="E145" s="1">
        <f t="shared" si="45"/>
        <v>1226</v>
      </c>
      <c r="F145" s="2">
        <f>G145</f>
        <v>1226</v>
      </c>
      <c r="G145" s="2">
        <f>560+666</f>
        <v>1226</v>
      </c>
      <c r="H145" s="2"/>
      <c r="I145" s="2"/>
      <c r="J145" s="2">
        <v>0</v>
      </c>
      <c r="K145" s="2"/>
      <c r="L145" s="2">
        <v>0</v>
      </c>
      <c r="M145" s="2">
        <v>0</v>
      </c>
      <c r="N145" s="37"/>
      <c r="O145" s="5"/>
    </row>
    <row r="146" spans="1:15" ht="15.75">
      <c r="A146" s="42"/>
      <c r="B146" s="44"/>
      <c r="C146" s="24" t="s">
        <v>15</v>
      </c>
      <c r="D146" s="1">
        <f t="shared" si="45"/>
        <v>106</v>
      </c>
      <c r="E146" s="1">
        <f t="shared" si="45"/>
        <v>106</v>
      </c>
      <c r="F146" s="2">
        <f>G146</f>
        <v>106</v>
      </c>
      <c r="G146" s="2">
        <f>106</f>
        <v>106</v>
      </c>
      <c r="H146" s="2"/>
      <c r="I146" s="2"/>
      <c r="J146" s="2">
        <v>0</v>
      </c>
      <c r="K146" s="2"/>
      <c r="L146" s="2">
        <v>0</v>
      </c>
      <c r="M146" s="2">
        <v>0</v>
      </c>
      <c r="N146" s="37"/>
      <c r="O146" s="5"/>
    </row>
    <row r="147" spans="1:15" ht="15.75">
      <c r="A147" s="42"/>
      <c r="B147" s="44"/>
      <c r="C147" s="24" t="s">
        <v>16</v>
      </c>
      <c r="D147" s="1">
        <f t="shared" si="45"/>
        <v>106</v>
      </c>
      <c r="E147" s="1">
        <f t="shared" si="45"/>
        <v>106</v>
      </c>
      <c r="F147" s="2">
        <f>G147</f>
        <v>106</v>
      </c>
      <c r="G147" s="2">
        <f>106</f>
        <v>106</v>
      </c>
      <c r="H147" s="2"/>
      <c r="I147" s="2"/>
      <c r="J147" s="2">
        <v>0</v>
      </c>
      <c r="K147" s="2"/>
      <c r="L147" s="2">
        <v>0</v>
      </c>
      <c r="M147" s="2">
        <v>0</v>
      </c>
      <c r="N147" s="37"/>
      <c r="O147" s="5"/>
    </row>
    <row r="148" spans="1:15" ht="15.75">
      <c r="A148" s="42"/>
      <c r="B148" s="44"/>
      <c r="C148" s="24" t="s">
        <v>17</v>
      </c>
      <c r="D148" s="1">
        <f t="shared" si="45"/>
        <v>106</v>
      </c>
      <c r="E148" s="1">
        <f t="shared" si="45"/>
        <v>0</v>
      </c>
      <c r="F148" s="2">
        <v>106</v>
      </c>
      <c r="G148" s="2"/>
      <c r="H148" s="2"/>
      <c r="I148" s="2"/>
      <c r="J148" s="2">
        <v>0</v>
      </c>
      <c r="K148" s="2"/>
      <c r="L148" s="2">
        <v>0</v>
      </c>
      <c r="M148" s="2">
        <v>0</v>
      </c>
      <c r="N148" s="37"/>
      <c r="O148" s="5"/>
    </row>
    <row r="149" spans="1:15" ht="15.75">
      <c r="A149" s="43"/>
      <c r="B149" s="44"/>
      <c r="C149" s="24" t="s">
        <v>18</v>
      </c>
      <c r="D149" s="1">
        <f t="shared" si="45"/>
        <v>106</v>
      </c>
      <c r="E149" s="1">
        <f t="shared" si="45"/>
        <v>0</v>
      </c>
      <c r="F149" s="2">
        <v>106</v>
      </c>
      <c r="G149" s="2"/>
      <c r="H149" s="2"/>
      <c r="I149" s="2"/>
      <c r="J149" s="2">
        <v>0</v>
      </c>
      <c r="K149" s="2"/>
      <c r="L149" s="2">
        <v>0</v>
      </c>
      <c r="M149" s="2">
        <v>0</v>
      </c>
      <c r="N149" s="32"/>
      <c r="O149" s="5"/>
    </row>
    <row r="150" spans="1:15" s="16" customFormat="1" ht="15.75">
      <c r="A150" s="48" t="s">
        <v>22</v>
      </c>
      <c r="B150" s="27" t="s">
        <v>58</v>
      </c>
      <c r="C150" s="25" t="s">
        <v>12</v>
      </c>
      <c r="D150" s="1">
        <f>SUM(D151:D156)</f>
        <v>1017059.1794</v>
      </c>
      <c r="E150" s="1">
        <f aca="true" t="shared" si="46" ref="E150:M150">SUM(E151:E156)</f>
        <v>461008.8000000001</v>
      </c>
      <c r="F150" s="1">
        <f t="shared" si="46"/>
        <v>566143.89</v>
      </c>
      <c r="G150" s="1">
        <f t="shared" si="46"/>
        <v>315188.8000000001</v>
      </c>
      <c r="H150" s="1">
        <f t="shared" si="46"/>
        <v>1892.9919999999997</v>
      </c>
      <c r="I150" s="1">
        <f t="shared" si="46"/>
        <v>0</v>
      </c>
      <c r="J150" s="1">
        <f t="shared" si="46"/>
        <v>399784.09739999997</v>
      </c>
      <c r="K150" s="1">
        <f t="shared" si="46"/>
        <v>108241.8</v>
      </c>
      <c r="L150" s="1">
        <f t="shared" si="46"/>
        <v>49238.2</v>
      </c>
      <c r="M150" s="1">
        <f t="shared" si="46"/>
        <v>37578.2</v>
      </c>
      <c r="N150" s="36" t="s">
        <v>45</v>
      </c>
      <c r="O150" s="5"/>
    </row>
    <row r="151" spans="1:15" s="16" customFormat="1" ht="15.75" customHeight="1">
      <c r="A151" s="49"/>
      <c r="B151" s="40" t="s">
        <v>23</v>
      </c>
      <c r="C151" s="25" t="s">
        <v>13</v>
      </c>
      <c r="D151" s="1">
        <f aca="true" t="shared" si="47" ref="D151:E156">F151+H151+J151+L151</f>
        <v>129321.4</v>
      </c>
      <c r="E151" s="1">
        <f t="shared" si="47"/>
        <v>115482.7</v>
      </c>
      <c r="F151" s="1">
        <f aca="true" t="shared" si="48" ref="F151:K151">F158+F165+F172+F179+F186+F193+F200++F207+F214+F221+F228</f>
        <v>90603.7</v>
      </c>
      <c r="G151" s="1">
        <f t="shared" si="48"/>
        <v>77665</v>
      </c>
      <c r="H151" s="1">
        <f t="shared" si="48"/>
        <v>200</v>
      </c>
      <c r="I151" s="1">
        <f t="shared" si="48"/>
        <v>0</v>
      </c>
      <c r="J151" s="1">
        <f t="shared" si="48"/>
        <v>18264.5</v>
      </c>
      <c r="K151" s="1">
        <f t="shared" si="48"/>
        <v>17564.5</v>
      </c>
      <c r="L151" s="1">
        <f aca="true" t="shared" si="49" ref="L151:L156">L158+L165+L172+L179+L186+L193+L200+L207+L214+L221+L228</f>
        <v>20253.199999999997</v>
      </c>
      <c r="M151" s="1">
        <f aca="true" t="shared" si="50" ref="M151:M156">M158+M165+M172+M179+M186+M193+M200++M207+M214+M221+M228</f>
        <v>20253.199999999997</v>
      </c>
      <c r="N151" s="37"/>
      <c r="O151" s="5"/>
    </row>
    <row r="152" spans="1:16" s="16" customFormat="1" ht="15.75">
      <c r="A152" s="49"/>
      <c r="B152" s="40"/>
      <c r="C152" s="25" t="s">
        <v>14</v>
      </c>
      <c r="D152" s="1">
        <f t="shared" si="47"/>
        <v>126498.23000000001</v>
      </c>
      <c r="E152" s="1">
        <f t="shared" si="47"/>
        <v>120632.70000000003</v>
      </c>
      <c r="F152" s="1">
        <f aca="true" t="shared" si="51" ref="F152:K156">F159+F166+F173+F180+F187+F194+F201++F208+F215+F222+F229</f>
        <v>84000.13</v>
      </c>
      <c r="G152" s="1">
        <f t="shared" si="51"/>
        <v>79174.60000000002</v>
      </c>
      <c r="H152" s="1">
        <f t="shared" si="51"/>
        <v>220</v>
      </c>
      <c r="I152" s="1">
        <f t="shared" si="51"/>
        <v>0</v>
      </c>
      <c r="J152" s="1">
        <f t="shared" si="51"/>
        <v>36613.100000000006</v>
      </c>
      <c r="K152" s="1">
        <f t="shared" si="51"/>
        <v>35793.100000000006</v>
      </c>
      <c r="L152" s="1">
        <f t="shared" si="49"/>
        <v>5665</v>
      </c>
      <c r="M152" s="1">
        <f t="shared" si="50"/>
        <v>5665</v>
      </c>
      <c r="N152" s="37"/>
      <c r="O152" s="5"/>
      <c r="P152" s="15">
        <f>F152-G152</f>
        <v>4825.529999999984</v>
      </c>
    </row>
    <row r="153" spans="1:16" s="16" customFormat="1" ht="15.75">
      <c r="A153" s="49"/>
      <c r="B153" s="40"/>
      <c r="C153" s="25" t="s">
        <v>15</v>
      </c>
      <c r="D153" s="1">
        <f t="shared" si="47"/>
        <v>145622.33000000002</v>
      </c>
      <c r="E153" s="1">
        <f t="shared" si="47"/>
        <v>139888.80000000002</v>
      </c>
      <c r="F153" s="1">
        <f t="shared" si="51"/>
        <v>83700.13</v>
      </c>
      <c r="G153" s="1">
        <f t="shared" si="51"/>
        <v>79174.60000000002</v>
      </c>
      <c r="H153" s="1">
        <f t="shared" si="51"/>
        <v>244</v>
      </c>
      <c r="I153" s="1">
        <f t="shared" si="51"/>
        <v>0</v>
      </c>
      <c r="J153" s="1">
        <f t="shared" si="51"/>
        <v>55848.2</v>
      </c>
      <c r="K153" s="1">
        <f t="shared" si="51"/>
        <v>54884.2</v>
      </c>
      <c r="L153" s="1">
        <f t="shared" si="49"/>
        <v>5830</v>
      </c>
      <c r="M153" s="1">
        <f t="shared" si="50"/>
        <v>5830</v>
      </c>
      <c r="N153" s="37"/>
      <c r="O153" s="5"/>
      <c r="P153" s="15">
        <f>F153-G153</f>
        <v>4525.529999999984</v>
      </c>
    </row>
    <row r="154" spans="1:16" s="16" customFormat="1" ht="15.75">
      <c r="A154" s="49"/>
      <c r="B154" s="40"/>
      <c r="C154" s="25" t="s">
        <v>16</v>
      </c>
      <c r="D154" s="1">
        <f t="shared" si="47"/>
        <v>162389.19</v>
      </c>
      <c r="E154" s="1">
        <f t="shared" si="47"/>
        <v>85004.60000000002</v>
      </c>
      <c r="F154" s="1">
        <f t="shared" si="51"/>
        <v>83700.13</v>
      </c>
      <c r="G154" s="1">
        <f t="shared" si="51"/>
        <v>79174.60000000002</v>
      </c>
      <c r="H154" s="1">
        <f t="shared" si="51"/>
        <v>322.79999999999995</v>
      </c>
      <c r="I154" s="1">
        <f t="shared" si="51"/>
        <v>0</v>
      </c>
      <c r="J154" s="1">
        <f t="shared" si="51"/>
        <v>72536.26</v>
      </c>
      <c r="K154" s="1">
        <f t="shared" si="51"/>
        <v>0</v>
      </c>
      <c r="L154" s="1">
        <f t="shared" si="49"/>
        <v>5830</v>
      </c>
      <c r="M154" s="1">
        <f t="shared" si="50"/>
        <v>5830</v>
      </c>
      <c r="N154" s="37"/>
      <c r="O154" s="5"/>
      <c r="P154" s="15">
        <f>F154-G154</f>
        <v>4525.529999999984</v>
      </c>
    </row>
    <row r="155" spans="1:15" s="16" customFormat="1" ht="15.75">
      <c r="A155" s="49"/>
      <c r="B155" s="40"/>
      <c r="C155" s="25" t="s">
        <v>17</v>
      </c>
      <c r="D155" s="1">
        <f t="shared" si="47"/>
        <v>205878.218</v>
      </c>
      <c r="E155" s="1">
        <f t="shared" si="47"/>
        <v>0</v>
      </c>
      <c r="F155" s="1">
        <f t="shared" si="51"/>
        <v>105542.4</v>
      </c>
      <c r="G155" s="1">
        <f t="shared" si="51"/>
        <v>0</v>
      </c>
      <c r="H155" s="1">
        <f t="shared" si="51"/>
        <v>357.36</v>
      </c>
      <c r="I155" s="1">
        <f t="shared" si="51"/>
        <v>0</v>
      </c>
      <c r="J155" s="1">
        <f t="shared" si="51"/>
        <v>94148.458</v>
      </c>
      <c r="K155" s="1">
        <f t="shared" si="51"/>
        <v>0</v>
      </c>
      <c r="L155" s="1">
        <f t="shared" si="49"/>
        <v>5830</v>
      </c>
      <c r="M155" s="1">
        <f t="shared" si="50"/>
        <v>0</v>
      </c>
      <c r="N155" s="37"/>
      <c r="O155" s="5"/>
    </row>
    <row r="156" spans="1:15" s="16" customFormat="1" ht="15.75">
      <c r="A156" s="49"/>
      <c r="B156" s="40"/>
      <c r="C156" s="25" t="s">
        <v>18</v>
      </c>
      <c r="D156" s="1">
        <f t="shared" si="47"/>
        <v>247349.8114</v>
      </c>
      <c r="E156" s="1">
        <f t="shared" si="47"/>
        <v>0</v>
      </c>
      <c r="F156" s="1">
        <f t="shared" si="51"/>
        <v>118597.4</v>
      </c>
      <c r="G156" s="1">
        <f t="shared" si="51"/>
        <v>0</v>
      </c>
      <c r="H156" s="1">
        <f t="shared" si="51"/>
        <v>548.832</v>
      </c>
      <c r="I156" s="1">
        <f t="shared" si="51"/>
        <v>0</v>
      </c>
      <c r="J156" s="1">
        <f t="shared" si="51"/>
        <v>122373.5794</v>
      </c>
      <c r="K156" s="1">
        <f t="shared" si="51"/>
        <v>0</v>
      </c>
      <c r="L156" s="1">
        <f t="shared" si="49"/>
        <v>5830</v>
      </c>
      <c r="M156" s="1">
        <f t="shared" si="50"/>
        <v>0</v>
      </c>
      <c r="N156" s="37"/>
      <c r="O156" s="5"/>
    </row>
    <row r="157" spans="1:15" s="4" customFormat="1" ht="15.75" customHeight="1">
      <c r="A157" s="49"/>
      <c r="B157" s="33" t="s">
        <v>35</v>
      </c>
      <c r="C157" s="24" t="s">
        <v>12</v>
      </c>
      <c r="D157" s="1">
        <f>SUM(D158:D163)</f>
        <v>940112.1354</v>
      </c>
      <c r="E157" s="1">
        <f aca="true" t="shared" si="52" ref="E157:M157">SUM(E158:E163)</f>
        <v>443583.5</v>
      </c>
      <c r="F157" s="2">
        <f t="shared" si="52"/>
        <v>500626.39</v>
      </c>
      <c r="G157" s="2">
        <f t="shared" si="52"/>
        <v>299462.10000000003</v>
      </c>
      <c r="H157" s="2">
        <f t="shared" si="52"/>
        <v>0</v>
      </c>
      <c r="I157" s="2">
        <f t="shared" si="52"/>
        <v>0</v>
      </c>
      <c r="J157" s="2">
        <f t="shared" si="52"/>
        <v>392926.14540000004</v>
      </c>
      <c r="K157" s="2">
        <f t="shared" si="52"/>
        <v>108241.8</v>
      </c>
      <c r="L157" s="2">
        <f t="shared" si="52"/>
        <v>46559.6</v>
      </c>
      <c r="M157" s="2">
        <f t="shared" si="52"/>
        <v>35879.6</v>
      </c>
      <c r="N157" s="37"/>
      <c r="O157" s="3"/>
    </row>
    <row r="158" spans="1:15" ht="15.75">
      <c r="A158" s="49"/>
      <c r="B158" s="33"/>
      <c r="C158" s="24" t="s">
        <v>13</v>
      </c>
      <c r="D158" s="1">
        <f aca="true" t="shared" si="53" ref="D158:E163">F158+H158+J158+L158</f>
        <v>114532.09999999998</v>
      </c>
      <c r="E158" s="1">
        <f t="shared" si="53"/>
        <v>111157.5</v>
      </c>
      <c r="F158" s="2">
        <f>8503.5+G158-559.8-4514.1-10-45</f>
        <v>77092.99999999999</v>
      </c>
      <c r="G158" s="2">
        <v>73718.4</v>
      </c>
      <c r="H158" s="2">
        <v>0</v>
      </c>
      <c r="I158" s="2">
        <v>0</v>
      </c>
      <c r="J158" s="2">
        <f>K158</f>
        <v>17564.5</v>
      </c>
      <c r="K158" s="2">
        <v>17564.5</v>
      </c>
      <c r="L158" s="2">
        <v>19874.6</v>
      </c>
      <c r="M158" s="2">
        <f>L158</f>
        <v>19874.6</v>
      </c>
      <c r="N158" s="37"/>
      <c r="O158" s="5"/>
    </row>
    <row r="159" spans="1:16" ht="15.75">
      <c r="A159" s="49"/>
      <c r="B159" s="33"/>
      <c r="C159" s="24" t="s">
        <v>14</v>
      </c>
      <c r="D159" s="1">
        <f t="shared" si="53"/>
        <v>118385.23000000001</v>
      </c>
      <c r="E159" s="1">
        <f t="shared" si="53"/>
        <v>116316.00000000001</v>
      </c>
      <c r="F159" s="2">
        <f>G159+260.23+775+150+608+276</f>
        <v>77317.13</v>
      </c>
      <c r="G159" s="2">
        <f>75475.3+2172.6-G201-G208-G215-G222</f>
        <v>75247.90000000001</v>
      </c>
      <c r="H159" s="2">
        <v>0</v>
      </c>
      <c r="I159" s="2">
        <v>0</v>
      </c>
      <c r="J159" s="2">
        <f>K159</f>
        <v>35793.100000000006</v>
      </c>
      <c r="K159" s="2">
        <f>1494.3+34298.8</f>
        <v>35793.100000000006</v>
      </c>
      <c r="L159" s="2">
        <f>5665-L173-L180-L201-L208-L215-L222</f>
        <v>5275</v>
      </c>
      <c r="M159" s="2">
        <f>L159</f>
        <v>5275</v>
      </c>
      <c r="N159" s="37"/>
      <c r="O159" s="5"/>
      <c r="P159" s="30">
        <f>F159-G159</f>
        <v>2069.229999999996</v>
      </c>
    </row>
    <row r="160" spans="1:16" ht="15.75">
      <c r="A160" s="49"/>
      <c r="B160" s="33"/>
      <c r="C160" s="24" t="s">
        <v>15</v>
      </c>
      <c r="D160" s="1">
        <f t="shared" si="53"/>
        <v>137581.33000000002</v>
      </c>
      <c r="E160" s="1">
        <f t="shared" si="53"/>
        <v>135512.1</v>
      </c>
      <c r="F160" s="2">
        <f>G160+260.23+775+150+608+276</f>
        <v>77317.13</v>
      </c>
      <c r="G160" s="2">
        <f>75475.3+2172.6-G202-G209-G216-G223</f>
        <v>75247.90000000001</v>
      </c>
      <c r="H160" s="2">
        <v>0</v>
      </c>
      <c r="I160" s="2">
        <v>0</v>
      </c>
      <c r="J160" s="2">
        <f>K160</f>
        <v>54884.2</v>
      </c>
      <c r="K160" s="2">
        <f>1470.6+53413.6</f>
        <v>54884.2</v>
      </c>
      <c r="L160" s="2">
        <f>5830-L174-L181-L202-L209-L216-L223</f>
        <v>5380</v>
      </c>
      <c r="M160" s="2">
        <f>L160</f>
        <v>5380</v>
      </c>
      <c r="N160" s="37"/>
      <c r="O160" s="5"/>
      <c r="P160" s="30">
        <f>F160-G160</f>
        <v>2069.229999999996</v>
      </c>
    </row>
    <row r="161" spans="1:16" ht="15.75">
      <c r="A161" s="49"/>
      <c r="B161" s="33"/>
      <c r="C161" s="24" t="s">
        <v>16</v>
      </c>
      <c r="D161" s="1">
        <f t="shared" si="53"/>
        <v>154016.59</v>
      </c>
      <c r="E161" s="1">
        <f t="shared" si="53"/>
        <v>80597.90000000001</v>
      </c>
      <c r="F161" s="2">
        <f>G161+260.23+775+150+608+276</f>
        <v>77317.13</v>
      </c>
      <c r="G161" s="2">
        <f>75475.3+2172.6-G203-G210-G217-G224</f>
        <v>75247.90000000001</v>
      </c>
      <c r="H161" s="2">
        <v>0</v>
      </c>
      <c r="I161" s="2">
        <v>0</v>
      </c>
      <c r="J161" s="2">
        <f>1.3*J160</f>
        <v>71349.45999999999</v>
      </c>
      <c r="K161" s="2">
        <v>0</v>
      </c>
      <c r="L161" s="2">
        <f>5830-L175-L182-L203-L210-L217-L224</f>
        <v>5350</v>
      </c>
      <c r="M161" s="2">
        <f>L161</f>
        <v>5350</v>
      </c>
      <c r="N161" s="37"/>
      <c r="O161" s="5"/>
      <c r="P161" s="30">
        <f>F161-G161</f>
        <v>2069.229999999996</v>
      </c>
    </row>
    <row r="162" spans="1:15" ht="15.75">
      <c r="A162" s="49"/>
      <c r="B162" s="33"/>
      <c r="C162" s="24" t="s">
        <v>17</v>
      </c>
      <c r="D162" s="1">
        <f t="shared" si="53"/>
        <v>188391.298</v>
      </c>
      <c r="E162" s="1">
        <f t="shared" si="53"/>
        <v>0</v>
      </c>
      <c r="F162" s="2">
        <v>90297</v>
      </c>
      <c r="G162" s="2">
        <v>0</v>
      </c>
      <c r="H162" s="2">
        <v>0</v>
      </c>
      <c r="I162" s="2">
        <v>0</v>
      </c>
      <c r="J162" s="2">
        <f>1.3*J161</f>
        <v>92754.298</v>
      </c>
      <c r="K162" s="2">
        <v>0</v>
      </c>
      <c r="L162" s="2">
        <f>5830-L176-L183-L204-L211-L218-L225</f>
        <v>5340</v>
      </c>
      <c r="M162" s="2"/>
      <c r="N162" s="37"/>
      <c r="O162" s="5"/>
    </row>
    <row r="163" spans="1:15" ht="15.75">
      <c r="A163" s="49"/>
      <c r="B163" s="38"/>
      <c r="C163" s="24" t="s">
        <v>18</v>
      </c>
      <c r="D163" s="1">
        <f t="shared" si="53"/>
        <v>227205.58740000002</v>
      </c>
      <c r="E163" s="1">
        <f t="shared" si="53"/>
        <v>0</v>
      </c>
      <c r="F163" s="2">
        <v>101285</v>
      </c>
      <c r="G163" s="2">
        <v>0</v>
      </c>
      <c r="H163" s="2">
        <v>0</v>
      </c>
      <c r="I163" s="2">
        <v>0</v>
      </c>
      <c r="J163" s="2">
        <f>1.3*J162</f>
        <v>120580.5874</v>
      </c>
      <c r="K163" s="2">
        <v>0</v>
      </c>
      <c r="L163" s="2">
        <f>5830-L177-L184-L205-L212-L219-L226</f>
        <v>5340</v>
      </c>
      <c r="M163" s="2"/>
      <c r="N163" s="37"/>
      <c r="O163" s="5"/>
    </row>
    <row r="164" spans="1:15" s="4" customFormat="1" ht="15.75" customHeight="1">
      <c r="A164" s="49"/>
      <c r="B164" s="34" t="s">
        <v>36</v>
      </c>
      <c r="C164" s="24" t="s">
        <v>12</v>
      </c>
      <c r="D164" s="1">
        <f>SUM(D165:D170)</f>
        <v>8365.4</v>
      </c>
      <c r="E164" s="1">
        <f aca="true" t="shared" si="54" ref="E164:K164">SUM(E165:E170)</f>
        <v>4564.4</v>
      </c>
      <c r="F164" s="2">
        <f t="shared" si="54"/>
        <v>8365.4</v>
      </c>
      <c r="G164" s="2">
        <f t="shared" si="54"/>
        <v>4564.4</v>
      </c>
      <c r="H164" s="2">
        <f t="shared" si="54"/>
        <v>0</v>
      </c>
      <c r="I164" s="2">
        <f t="shared" si="54"/>
        <v>0</v>
      </c>
      <c r="J164" s="2">
        <f t="shared" si="54"/>
        <v>0</v>
      </c>
      <c r="K164" s="2">
        <f t="shared" si="54"/>
        <v>0</v>
      </c>
      <c r="L164" s="2">
        <f>SUM(L165:L170)</f>
        <v>0</v>
      </c>
      <c r="M164" s="2">
        <f>SUM(M165:M170)</f>
        <v>0</v>
      </c>
      <c r="N164" s="37"/>
      <c r="O164" s="3"/>
    </row>
    <row r="165" spans="1:15" ht="15.75">
      <c r="A165" s="49"/>
      <c r="B165" s="34"/>
      <c r="C165" s="24" t="s">
        <v>13</v>
      </c>
      <c r="D165" s="1">
        <f aca="true" t="shared" si="55" ref="D165:E170">F165+H165+J165+L165</f>
        <v>1526.6</v>
      </c>
      <c r="E165" s="1">
        <f t="shared" si="55"/>
        <v>926.6</v>
      </c>
      <c r="F165" s="2">
        <f>600+G165</f>
        <v>1526.6</v>
      </c>
      <c r="G165" s="2">
        <v>926.6</v>
      </c>
      <c r="H165" s="2">
        <v>0</v>
      </c>
      <c r="I165" s="2">
        <v>0</v>
      </c>
      <c r="J165" s="2">
        <v>0</v>
      </c>
      <c r="K165" s="2">
        <v>0</v>
      </c>
      <c r="L165" s="2">
        <f>M165</f>
        <v>0</v>
      </c>
      <c r="M165" s="2">
        <v>0</v>
      </c>
      <c r="N165" s="37"/>
      <c r="O165" s="5"/>
    </row>
    <row r="166" spans="1:15" ht="15.75">
      <c r="A166" s="49"/>
      <c r="B166" s="34"/>
      <c r="C166" s="24" t="s">
        <v>14</v>
      </c>
      <c r="D166" s="1">
        <f t="shared" si="55"/>
        <v>1212.6</v>
      </c>
      <c r="E166" s="1">
        <f t="shared" si="55"/>
        <v>1212.6</v>
      </c>
      <c r="F166" s="2">
        <f>G166</f>
        <v>1212.6</v>
      </c>
      <c r="G166" s="2">
        <f>52.1+1160.5</f>
        <v>1212.6</v>
      </c>
      <c r="H166" s="2">
        <v>0</v>
      </c>
      <c r="I166" s="2">
        <v>0</v>
      </c>
      <c r="J166" s="2">
        <v>0</v>
      </c>
      <c r="K166" s="2">
        <v>0</v>
      </c>
      <c r="L166" s="2">
        <f>M166</f>
        <v>0</v>
      </c>
      <c r="M166" s="2">
        <v>0</v>
      </c>
      <c r="N166" s="37"/>
      <c r="O166" s="5"/>
    </row>
    <row r="167" spans="1:15" ht="15.75">
      <c r="A167" s="49"/>
      <c r="B167" s="34"/>
      <c r="C167" s="24" t="s">
        <v>15</v>
      </c>
      <c r="D167" s="1">
        <f t="shared" si="55"/>
        <v>1212.6</v>
      </c>
      <c r="E167" s="1">
        <f t="shared" si="55"/>
        <v>1212.6</v>
      </c>
      <c r="F167" s="2">
        <f>G167</f>
        <v>1212.6</v>
      </c>
      <c r="G167" s="2">
        <f>52.1+1160.5</f>
        <v>1212.6</v>
      </c>
      <c r="H167" s="2">
        <v>0</v>
      </c>
      <c r="I167" s="2">
        <v>0</v>
      </c>
      <c r="J167" s="2">
        <v>0</v>
      </c>
      <c r="K167" s="2">
        <v>0</v>
      </c>
      <c r="L167" s="2">
        <f>1.1*L166</f>
        <v>0</v>
      </c>
      <c r="M167" s="2"/>
      <c r="N167" s="37"/>
      <c r="O167" s="5"/>
    </row>
    <row r="168" spans="1:15" ht="15.75">
      <c r="A168" s="49"/>
      <c r="B168" s="34"/>
      <c r="C168" s="24" t="s">
        <v>16</v>
      </c>
      <c r="D168" s="1">
        <f t="shared" si="55"/>
        <v>1212.6</v>
      </c>
      <c r="E168" s="1">
        <f t="shared" si="55"/>
        <v>1212.6</v>
      </c>
      <c r="F168" s="2">
        <f>G168</f>
        <v>1212.6</v>
      </c>
      <c r="G168" s="2">
        <f>52.1+1160.5</f>
        <v>1212.6</v>
      </c>
      <c r="H168" s="2">
        <v>0</v>
      </c>
      <c r="I168" s="2">
        <v>0</v>
      </c>
      <c r="J168" s="2">
        <v>0</v>
      </c>
      <c r="K168" s="2">
        <v>0</v>
      </c>
      <c r="L168" s="2">
        <f>1.1*L167</f>
        <v>0</v>
      </c>
      <c r="M168" s="2"/>
      <c r="N168" s="37"/>
      <c r="O168" s="5"/>
    </row>
    <row r="169" spans="1:15" ht="15.75">
      <c r="A169" s="49"/>
      <c r="B169" s="34"/>
      <c r="C169" s="24" t="s">
        <v>17</v>
      </c>
      <c r="D169" s="1">
        <f t="shared" si="55"/>
        <v>1455</v>
      </c>
      <c r="E169" s="1">
        <f t="shared" si="55"/>
        <v>0</v>
      </c>
      <c r="F169" s="2">
        <v>1455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f>1.1*L168</f>
        <v>0</v>
      </c>
      <c r="M169" s="2"/>
      <c r="N169" s="37"/>
      <c r="O169" s="5"/>
    </row>
    <row r="170" spans="1:15" ht="15.75">
      <c r="A170" s="49"/>
      <c r="B170" s="34"/>
      <c r="C170" s="24" t="s">
        <v>18</v>
      </c>
      <c r="D170" s="1">
        <f t="shared" si="55"/>
        <v>1746</v>
      </c>
      <c r="E170" s="1">
        <f t="shared" si="55"/>
        <v>0</v>
      </c>
      <c r="F170" s="2">
        <v>1746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f>1.1*L169</f>
        <v>0</v>
      </c>
      <c r="M170" s="2"/>
      <c r="N170" s="37"/>
      <c r="O170" s="5"/>
    </row>
    <row r="171" spans="1:15" s="4" customFormat="1" ht="15.75" customHeight="1">
      <c r="A171" s="49"/>
      <c r="B171" s="34" t="s">
        <v>37</v>
      </c>
      <c r="C171" s="24" t="s">
        <v>12</v>
      </c>
      <c r="D171" s="1">
        <f>SUM(D172:D177)</f>
        <v>8264.576000000001</v>
      </c>
      <c r="E171" s="1">
        <f aca="true" t="shared" si="56" ref="E171:K171">SUM(E172:E177)</f>
        <v>1785.6</v>
      </c>
      <c r="F171" s="2">
        <f t="shared" si="56"/>
        <v>4800</v>
      </c>
      <c r="G171" s="2">
        <f t="shared" si="56"/>
        <v>1500</v>
      </c>
      <c r="H171" s="2">
        <f t="shared" si="56"/>
        <v>0</v>
      </c>
      <c r="I171" s="2">
        <f t="shared" si="56"/>
        <v>0</v>
      </c>
      <c r="J171" s="2">
        <f t="shared" si="56"/>
        <v>2978.9759999999997</v>
      </c>
      <c r="K171" s="2">
        <f t="shared" si="56"/>
        <v>0</v>
      </c>
      <c r="L171" s="2">
        <f>SUM(L172:L177)</f>
        <v>485.6</v>
      </c>
      <c r="M171" s="2">
        <f>SUM(M172:M177)</f>
        <v>285.6</v>
      </c>
      <c r="N171" s="37"/>
      <c r="O171" s="3"/>
    </row>
    <row r="172" spans="1:15" ht="15.75">
      <c r="A172" s="49"/>
      <c r="B172" s="34"/>
      <c r="C172" s="24" t="s">
        <v>13</v>
      </c>
      <c r="D172" s="1">
        <f aca="true" t="shared" si="57" ref="D172:E177">F172+H172+J172+L172</f>
        <v>1815.6</v>
      </c>
      <c r="E172" s="1">
        <f t="shared" si="57"/>
        <v>1515.6</v>
      </c>
      <c r="F172" s="2">
        <v>1500</v>
      </c>
      <c r="G172" s="2">
        <v>1500</v>
      </c>
      <c r="H172" s="2">
        <v>0</v>
      </c>
      <c r="I172" s="2">
        <v>0</v>
      </c>
      <c r="J172" s="2">
        <v>300</v>
      </c>
      <c r="K172" s="2">
        <v>0</v>
      </c>
      <c r="L172" s="2">
        <v>15.6</v>
      </c>
      <c r="M172" s="2">
        <f>L172</f>
        <v>15.6</v>
      </c>
      <c r="N172" s="37"/>
      <c r="O172" s="5"/>
    </row>
    <row r="173" spans="1:15" ht="15.75">
      <c r="A173" s="49"/>
      <c r="B173" s="34"/>
      <c r="C173" s="24" t="s">
        <v>14</v>
      </c>
      <c r="D173" s="1">
        <f t="shared" si="57"/>
        <v>740</v>
      </c>
      <c r="E173" s="1">
        <f t="shared" si="57"/>
        <v>80</v>
      </c>
      <c r="F173" s="2">
        <f>G173+300</f>
        <v>300</v>
      </c>
      <c r="G173" s="2">
        <v>0</v>
      </c>
      <c r="H173" s="2">
        <v>0</v>
      </c>
      <c r="I173" s="2">
        <v>0</v>
      </c>
      <c r="J173" s="2">
        <f>1.2*J172</f>
        <v>360</v>
      </c>
      <c r="K173" s="2">
        <v>0</v>
      </c>
      <c r="L173" s="2">
        <v>80</v>
      </c>
      <c r="M173" s="2">
        <f>L173</f>
        <v>80</v>
      </c>
      <c r="N173" s="37"/>
      <c r="O173" s="5"/>
    </row>
    <row r="174" spans="1:15" ht="15.75">
      <c r="A174" s="49"/>
      <c r="B174" s="34"/>
      <c r="C174" s="24" t="s">
        <v>15</v>
      </c>
      <c r="D174" s="1">
        <f t="shared" si="57"/>
        <v>522</v>
      </c>
      <c r="E174" s="1">
        <f t="shared" si="57"/>
        <v>90</v>
      </c>
      <c r="F174" s="2">
        <f>G174</f>
        <v>0</v>
      </c>
      <c r="G174" s="2">
        <v>0</v>
      </c>
      <c r="H174" s="2">
        <v>0</v>
      </c>
      <c r="I174" s="2">
        <v>0</v>
      </c>
      <c r="J174" s="2">
        <f>1.2*J173</f>
        <v>432</v>
      </c>
      <c r="K174" s="2">
        <v>0</v>
      </c>
      <c r="L174" s="2">
        <v>90</v>
      </c>
      <c r="M174" s="2">
        <f>L174</f>
        <v>90</v>
      </c>
      <c r="N174" s="37"/>
      <c r="O174" s="5"/>
    </row>
    <row r="175" spans="1:15" ht="15.75">
      <c r="A175" s="49"/>
      <c r="B175" s="34"/>
      <c r="C175" s="24" t="s">
        <v>16</v>
      </c>
      <c r="D175" s="1">
        <f t="shared" si="57"/>
        <v>618.4</v>
      </c>
      <c r="E175" s="1">
        <f t="shared" si="57"/>
        <v>100</v>
      </c>
      <c r="F175" s="2">
        <f>G175</f>
        <v>0</v>
      </c>
      <c r="G175" s="2">
        <v>0</v>
      </c>
      <c r="H175" s="2">
        <v>0</v>
      </c>
      <c r="I175" s="2">
        <v>0</v>
      </c>
      <c r="J175" s="2">
        <f>1.2*J174</f>
        <v>518.4</v>
      </c>
      <c r="K175" s="2">
        <v>0</v>
      </c>
      <c r="L175" s="2">
        <v>100</v>
      </c>
      <c r="M175" s="2">
        <f>L175</f>
        <v>100</v>
      </c>
      <c r="N175" s="37"/>
      <c r="O175" s="5"/>
    </row>
    <row r="176" spans="1:15" ht="15.75">
      <c r="A176" s="49"/>
      <c r="B176" s="34"/>
      <c r="C176" s="24" t="s">
        <v>17</v>
      </c>
      <c r="D176" s="1">
        <f t="shared" si="57"/>
        <v>2222.08</v>
      </c>
      <c r="E176" s="1">
        <f t="shared" si="57"/>
        <v>0</v>
      </c>
      <c r="F176" s="2">
        <v>1500</v>
      </c>
      <c r="G176" s="2">
        <v>0</v>
      </c>
      <c r="H176" s="2">
        <v>0</v>
      </c>
      <c r="I176" s="2">
        <v>0</v>
      </c>
      <c r="J176" s="2">
        <f>1.2*J175</f>
        <v>622.0799999999999</v>
      </c>
      <c r="K176" s="2">
        <v>0</v>
      </c>
      <c r="L176" s="2">
        <v>100</v>
      </c>
      <c r="M176" s="2"/>
      <c r="N176" s="37"/>
      <c r="O176" s="5"/>
    </row>
    <row r="177" spans="1:15" ht="15.75">
      <c r="A177" s="49"/>
      <c r="B177" s="34"/>
      <c r="C177" s="24" t="s">
        <v>18</v>
      </c>
      <c r="D177" s="1">
        <f t="shared" si="57"/>
        <v>2346.496</v>
      </c>
      <c r="E177" s="1">
        <f t="shared" si="57"/>
        <v>0</v>
      </c>
      <c r="F177" s="2">
        <v>1500</v>
      </c>
      <c r="G177" s="2">
        <v>0</v>
      </c>
      <c r="H177" s="2">
        <v>0</v>
      </c>
      <c r="I177" s="2">
        <v>0</v>
      </c>
      <c r="J177" s="2">
        <f>1.2*J176</f>
        <v>746.4959999999999</v>
      </c>
      <c r="K177" s="2">
        <v>0</v>
      </c>
      <c r="L177" s="2">
        <v>100</v>
      </c>
      <c r="M177" s="2"/>
      <c r="N177" s="37"/>
      <c r="O177" s="5"/>
    </row>
    <row r="178" spans="1:15" s="4" customFormat="1" ht="15.75" customHeight="1">
      <c r="A178" s="49"/>
      <c r="B178" s="34" t="s">
        <v>67</v>
      </c>
      <c r="C178" s="24" t="s">
        <v>12</v>
      </c>
      <c r="D178" s="1">
        <f>SUM(D179:D184)</f>
        <v>21420</v>
      </c>
      <c r="E178" s="1">
        <f aca="true" t="shared" si="58" ref="E178:M178">SUM(E179:E184)</f>
        <v>360</v>
      </c>
      <c r="F178" s="2">
        <f t="shared" si="58"/>
        <v>20800</v>
      </c>
      <c r="G178" s="2">
        <f t="shared" si="58"/>
        <v>0</v>
      </c>
      <c r="H178" s="2">
        <f t="shared" si="58"/>
        <v>0</v>
      </c>
      <c r="I178" s="2">
        <f t="shared" si="58"/>
        <v>0</v>
      </c>
      <c r="J178" s="2">
        <f t="shared" si="58"/>
        <v>0</v>
      </c>
      <c r="K178" s="2">
        <f t="shared" si="58"/>
        <v>0</v>
      </c>
      <c r="L178" s="2">
        <f t="shared" si="58"/>
        <v>620</v>
      </c>
      <c r="M178" s="2">
        <f t="shared" si="58"/>
        <v>360</v>
      </c>
      <c r="N178" s="37"/>
      <c r="O178" s="3"/>
    </row>
    <row r="179" spans="1:15" ht="15.75">
      <c r="A179" s="49"/>
      <c r="B179" s="34"/>
      <c r="C179" s="24" t="s">
        <v>13</v>
      </c>
      <c r="D179" s="1">
        <f aca="true" t="shared" si="59" ref="D179:E184">F179+H179+J179+L179</f>
        <v>6500</v>
      </c>
      <c r="E179" s="1">
        <f t="shared" si="59"/>
        <v>0</v>
      </c>
      <c r="F179" s="2">
        <f>6500</f>
        <v>6500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f>L179</f>
        <v>0</v>
      </c>
      <c r="N179" s="37"/>
      <c r="O179" s="5"/>
    </row>
    <row r="180" spans="1:15" ht="15.75">
      <c r="A180" s="49"/>
      <c r="B180" s="34"/>
      <c r="C180" s="24" t="s">
        <v>14</v>
      </c>
      <c r="D180" s="1">
        <f t="shared" si="59"/>
        <v>100</v>
      </c>
      <c r="E180" s="1">
        <f t="shared" si="59"/>
        <v>100</v>
      </c>
      <c r="F180" s="2">
        <f>G180</f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100</v>
      </c>
      <c r="M180" s="2">
        <f>L180</f>
        <v>100</v>
      </c>
      <c r="N180" s="37"/>
      <c r="O180" s="5"/>
    </row>
    <row r="181" spans="1:15" ht="15.75">
      <c r="A181" s="49"/>
      <c r="B181" s="34"/>
      <c r="C181" s="24" t="s">
        <v>15</v>
      </c>
      <c r="D181" s="1">
        <f t="shared" si="59"/>
        <v>130</v>
      </c>
      <c r="E181" s="1">
        <f t="shared" si="59"/>
        <v>130</v>
      </c>
      <c r="F181" s="2">
        <f>G181</f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130</v>
      </c>
      <c r="M181" s="2">
        <f>L181</f>
        <v>130</v>
      </c>
      <c r="N181" s="37"/>
      <c r="O181" s="5"/>
    </row>
    <row r="182" spans="1:15" ht="15.75">
      <c r="A182" s="49"/>
      <c r="B182" s="34"/>
      <c r="C182" s="24" t="s">
        <v>16</v>
      </c>
      <c r="D182" s="1">
        <f t="shared" si="59"/>
        <v>130</v>
      </c>
      <c r="E182" s="1">
        <f t="shared" si="59"/>
        <v>130</v>
      </c>
      <c r="F182" s="2">
        <f>G182</f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130</v>
      </c>
      <c r="M182" s="2">
        <f>L182</f>
        <v>130</v>
      </c>
      <c r="N182" s="37"/>
      <c r="O182" s="5"/>
    </row>
    <row r="183" spans="1:15" ht="15.75">
      <c r="A183" s="49"/>
      <c r="B183" s="34"/>
      <c r="C183" s="24" t="s">
        <v>17</v>
      </c>
      <c r="D183" s="1">
        <f t="shared" si="59"/>
        <v>6630</v>
      </c>
      <c r="E183" s="1">
        <f t="shared" si="59"/>
        <v>0</v>
      </c>
      <c r="F183" s="2">
        <v>6500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130</v>
      </c>
      <c r="M183" s="2"/>
      <c r="N183" s="37"/>
      <c r="O183" s="5"/>
    </row>
    <row r="184" spans="1:15" ht="15.75">
      <c r="A184" s="49"/>
      <c r="B184" s="34"/>
      <c r="C184" s="24" t="s">
        <v>18</v>
      </c>
      <c r="D184" s="1">
        <f t="shared" si="59"/>
        <v>7930</v>
      </c>
      <c r="E184" s="1">
        <f t="shared" si="59"/>
        <v>0</v>
      </c>
      <c r="F184" s="2">
        <f>1.2*F183</f>
        <v>7800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130</v>
      </c>
      <c r="M184" s="2"/>
      <c r="N184" s="37"/>
      <c r="O184" s="5"/>
    </row>
    <row r="185" spans="1:15" s="4" customFormat="1" ht="20.25" customHeight="1" hidden="1">
      <c r="A185" s="49"/>
      <c r="B185" s="34" t="s">
        <v>38</v>
      </c>
      <c r="C185" s="24" t="s">
        <v>12</v>
      </c>
      <c r="D185" s="1">
        <f>SUM(D186:D191)</f>
        <v>0</v>
      </c>
      <c r="E185" s="1">
        <f aca="true" t="shared" si="60" ref="E185:M185">SUM(E186:E191)</f>
        <v>0</v>
      </c>
      <c r="F185" s="2">
        <f t="shared" si="60"/>
        <v>0</v>
      </c>
      <c r="G185" s="2">
        <f t="shared" si="60"/>
        <v>0</v>
      </c>
      <c r="H185" s="2">
        <f t="shared" si="60"/>
        <v>0</v>
      </c>
      <c r="I185" s="2">
        <f t="shared" si="60"/>
        <v>0</v>
      </c>
      <c r="J185" s="2">
        <f t="shared" si="60"/>
        <v>0</v>
      </c>
      <c r="K185" s="2">
        <f t="shared" si="60"/>
        <v>0</v>
      </c>
      <c r="L185" s="2">
        <f t="shared" si="60"/>
        <v>0</v>
      </c>
      <c r="M185" s="2">
        <f t="shared" si="60"/>
        <v>0</v>
      </c>
      <c r="N185" s="37"/>
      <c r="O185" s="3"/>
    </row>
    <row r="186" spans="1:15" ht="20.25" customHeight="1" hidden="1">
      <c r="A186" s="49"/>
      <c r="B186" s="34" t="s">
        <v>24</v>
      </c>
      <c r="C186" s="24" t="s">
        <v>13</v>
      </c>
      <c r="D186" s="1">
        <f aca="true" t="shared" si="61" ref="D186:E191">F186+H186+J186+L186</f>
        <v>0</v>
      </c>
      <c r="E186" s="1">
        <f t="shared" si="61"/>
        <v>0</v>
      </c>
      <c r="F186" s="2"/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f aca="true" t="shared" si="62" ref="L186:L191">M186</f>
        <v>0</v>
      </c>
      <c r="M186" s="2">
        <v>0</v>
      </c>
      <c r="N186" s="37"/>
      <c r="O186" s="5"/>
    </row>
    <row r="187" spans="1:15" ht="20.25" customHeight="1" hidden="1">
      <c r="A187" s="49"/>
      <c r="B187" s="34" t="s">
        <v>25</v>
      </c>
      <c r="C187" s="24" t="s">
        <v>14</v>
      </c>
      <c r="D187" s="1">
        <f t="shared" si="61"/>
        <v>0</v>
      </c>
      <c r="E187" s="1">
        <f t="shared" si="61"/>
        <v>0</v>
      </c>
      <c r="F187" s="2"/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f t="shared" si="62"/>
        <v>0</v>
      </c>
      <c r="M187" s="2">
        <v>0</v>
      </c>
      <c r="N187" s="37"/>
      <c r="O187" s="5"/>
    </row>
    <row r="188" spans="1:15" ht="20.25" customHeight="1" hidden="1">
      <c r="A188" s="49"/>
      <c r="B188" s="34"/>
      <c r="C188" s="24" t="s">
        <v>15</v>
      </c>
      <c r="D188" s="1">
        <f t="shared" si="61"/>
        <v>0</v>
      </c>
      <c r="E188" s="1">
        <f t="shared" si="61"/>
        <v>0</v>
      </c>
      <c r="F188" s="2"/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f t="shared" si="62"/>
        <v>0</v>
      </c>
      <c r="M188" s="2">
        <v>0</v>
      </c>
      <c r="N188" s="37"/>
      <c r="O188" s="5"/>
    </row>
    <row r="189" spans="1:15" ht="20.25" customHeight="1" hidden="1">
      <c r="A189" s="49"/>
      <c r="B189" s="34"/>
      <c r="C189" s="24" t="s">
        <v>16</v>
      </c>
      <c r="D189" s="1">
        <f t="shared" si="61"/>
        <v>0</v>
      </c>
      <c r="E189" s="1">
        <f t="shared" si="61"/>
        <v>0</v>
      </c>
      <c r="F189" s="2"/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f t="shared" si="62"/>
        <v>0</v>
      </c>
      <c r="M189" s="2">
        <v>0</v>
      </c>
      <c r="N189" s="37"/>
      <c r="O189" s="5"/>
    </row>
    <row r="190" spans="1:15" ht="20.25" customHeight="1" hidden="1">
      <c r="A190" s="49"/>
      <c r="B190" s="34"/>
      <c r="C190" s="24" t="s">
        <v>17</v>
      </c>
      <c r="D190" s="1">
        <f t="shared" si="61"/>
        <v>0</v>
      </c>
      <c r="E190" s="1">
        <f t="shared" si="61"/>
        <v>0</v>
      </c>
      <c r="F190" s="2"/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f t="shared" si="62"/>
        <v>0</v>
      </c>
      <c r="M190" s="2">
        <v>0</v>
      </c>
      <c r="N190" s="37"/>
      <c r="O190" s="5"/>
    </row>
    <row r="191" spans="1:15" ht="20.25" customHeight="1" hidden="1">
      <c r="A191" s="49"/>
      <c r="B191" s="34"/>
      <c r="C191" s="24" t="s">
        <v>18</v>
      </c>
      <c r="D191" s="1">
        <f t="shared" si="61"/>
        <v>0</v>
      </c>
      <c r="E191" s="1">
        <f t="shared" si="61"/>
        <v>0</v>
      </c>
      <c r="F191" s="2"/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f t="shared" si="62"/>
        <v>0</v>
      </c>
      <c r="M191" s="2">
        <v>0</v>
      </c>
      <c r="N191" s="37"/>
      <c r="O191" s="5"/>
    </row>
    <row r="192" spans="1:15" s="4" customFormat="1" ht="16.5" customHeight="1" hidden="1">
      <c r="A192" s="49"/>
      <c r="B192" s="34" t="s">
        <v>39</v>
      </c>
      <c r="C192" s="24" t="s">
        <v>12</v>
      </c>
      <c r="D192" s="1">
        <f>SUM(D193:D198)</f>
        <v>0</v>
      </c>
      <c r="E192" s="1">
        <f aca="true" t="shared" si="63" ref="E192:M192">SUM(E193:E198)</f>
        <v>0</v>
      </c>
      <c r="F192" s="2">
        <f t="shared" si="63"/>
        <v>0</v>
      </c>
      <c r="G192" s="2">
        <f t="shared" si="63"/>
        <v>0</v>
      </c>
      <c r="H192" s="2">
        <f t="shared" si="63"/>
        <v>0</v>
      </c>
      <c r="I192" s="2">
        <f t="shared" si="63"/>
        <v>0</v>
      </c>
      <c r="J192" s="2">
        <f t="shared" si="63"/>
        <v>0</v>
      </c>
      <c r="K192" s="2">
        <f t="shared" si="63"/>
        <v>0</v>
      </c>
      <c r="L192" s="2">
        <f t="shared" si="63"/>
        <v>0</v>
      </c>
      <c r="M192" s="2">
        <f t="shared" si="63"/>
        <v>0</v>
      </c>
      <c r="N192" s="37"/>
      <c r="O192" s="3"/>
    </row>
    <row r="193" spans="1:15" ht="15.75" customHeight="1" hidden="1">
      <c r="A193" s="49"/>
      <c r="B193" s="34"/>
      <c r="C193" s="24" t="s">
        <v>13</v>
      </c>
      <c r="D193" s="1">
        <f aca="true" t="shared" si="64" ref="D193:E198">F193+H193+J193+L193</f>
        <v>0</v>
      </c>
      <c r="E193" s="1">
        <f t="shared" si="64"/>
        <v>0</v>
      </c>
      <c r="F193" s="2"/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f aca="true" t="shared" si="65" ref="L193:L198">M193</f>
        <v>0</v>
      </c>
      <c r="M193" s="2">
        <v>0</v>
      </c>
      <c r="N193" s="37"/>
      <c r="O193" s="5"/>
    </row>
    <row r="194" spans="1:15" ht="15.75" customHeight="1" hidden="1">
      <c r="A194" s="49"/>
      <c r="B194" s="34"/>
      <c r="C194" s="24" t="s">
        <v>14</v>
      </c>
      <c r="D194" s="1">
        <f t="shared" si="64"/>
        <v>0</v>
      </c>
      <c r="E194" s="1">
        <f t="shared" si="64"/>
        <v>0</v>
      </c>
      <c r="F194" s="2"/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f t="shared" si="65"/>
        <v>0</v>
      </c>
      <c r="M194" s="2">
        <v>0</v>
      </c>
      <c r="N194" s="37"/>
      <c r="O194" s="5"/>
    </row>
    <row r="195" spans="1:15" ht="15.75" customHeight="1" hidden="1">
      <c r="A195" s="49"/>
      <c r="B195" s="34"/>
      <c r="C195" s="24" t="s">
        <v>15</v>
      </c>
      <c r="D195" s="1">
        <f t="shared" si="64"/>
        <v>0</v>
      </c>
      <c r="E195" s="1">
        <f t="shared" si="64"/>
        <v>0</v>
      </c>
      <c r="F195" s="2"/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f t="shared" si="65"/>
        <v>0</v>
      </c>
      <c r="M195" s="2">
        <v>0</v>
      </c>
      <c r="N195" s="37"/>
      <c r="O195" s="5"/>
    </row>
    <row r="196" spans="1:15" ht="15.75" customHeight="1" hidden="1">
      <c r="A196" s="49"/>
      <c r="B196" s="34"/>
      <c r="C196" s="24" t="s">
        <v>16</v>
      </c>
      <c r="D196" s="1">
        <f t="shared" si="64"/>
        <v>0</v>
      </c>
      <c r="E196" s="1">
        <f t="shared" si="64"/>
        <v>0</v>
      </c>
      <c r="F196" s="2"/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f t="shared" si="65"/>
        <v>0</v>
      </c>
      <c r="M196" s="2">
        <v>0</v>
      </c>
      <c r="N196" s="37"/>
      <c r="O196" s="5"/>
    </row>
    <row r="197" spans="1:15" ht="15.75" customHeight="1" hidden="1">
      <c r="A197" s="49"/>
      <c r="B197" s="34"/>
      <c r="C197" s="24" t="s">
        <v>17</v>
      </c>
      <c r="D197" s="1">
        <f t="shared" si="64"/>
        <v>0</v>
      </c>
      <c r="E197" s="1">
        <f t="shared" si="64"/>
        <v>0</v>
      </c>
      <c r="F197" s="2"/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f t="shared" si="65"/>
        <v>0</v>
      </c>
      <c r="M197" s="2">
        <v>0</v>
      </c>
      <c r="N197" s="37"/>
      <c r="O197" s="5"/>
    </row>
    <row r="198" spans="1:15" ht="15.75" customHeight="1" hidden="1">
      <c r="A198" s="49"/>
      <c r="B198" s="34"/>
      <c r="C198" s="24" t="s">
        <v>18</v>
      </c>
      <c r="D198" s="1">
        <f t="shared" si="64"/>
        <v>0</v>
      </c>
      <c r="E198" s="1">
        <f t="shared" si="64"/>
        <v>0</v>
      </c>
      <c r="F198" s="2"/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f t="shared" si="65"/>
        <v>0</v>
      </c>
      <c r="M198" s="2">
        <v>0</v>
      </c>
      <c r="N198" s="37"/>
      <c r="O198" s="5"/>
    </row>
    <row r="199" spans="1:15" s="4" customFormat="1" ht="20.25" customHeight="1">
      <c r="A199" s="49"/>
      <c r="B199" s="34" t="s">
        <v>52</v>
      </c>
      <c r="C199" s="24" t="s">
        <v>12</v>
      </c>
      <c r="D199" s="1">
        <f>SUM(D200:D205)</f>
        <v>14515</v>
      </c>
      <c r="E199" s="1">
        <f aca="true" t="shared" si="66" ref="E199:M199">SUM(E200:E205)</f>
        <v>3175</v>
      </c>
      <c r="F199" s="2">
        <f t="shared" si="66"/>
        <v>12130</v>
      </c>
      <c r="G199" s="2">
        <f t="shared" si="66"/>
        <v>2830</v>
      </c>
      <c r="H199" s="2">
        <f t="shared" si="66"/>
        <v>900</v>
      </c>
      <c r="I199" s="2">
        <f t="shared" si="66"/>
        <v>0</v>
      </c>
      <c r="J199" s="2">
        <f t="shared" si="66"/>
        <v>900</v>
      </c>
      <c r="K199" s="2">
        <f t="shared" si="66"/>
        <v>0</v>
      </c>
      <c r="L199" s="2">
        <f t="shared" si="66"/>
        <v>585</v>
      </c>
      <c r="M199" s="2">
        <f t="shared" si="66"/>
        <v>345</v>
      </c>
      <c r="N199" s="37"/>
      <c r="O199" s="3"/>
    </row>
    <row r="200" spans="1:15" ht="20.25" customHeight="1">
      <c r="A200" s="49"/>
      <c r="B200" s="34"/>
      <c r="C200" s="24" t="s">
        <v>13</v>
      </c>
      <c r="D200" s="1">
        <f aca="true" t="shared" si="67" ref="D200:E205">F200+H200+J200+L200</f>
        <v>1145</v>
      </c>
      <c r="E200" s="1">
        <f t="shared" si="67"/>
        <v>445</v>
      </c>
      <c r="F200" s="2">
        <f>500+G200</f>
        <v>930</v>
      </c>
      <c r="G200" s="2">
        <v>430</v>
      </c>
      <c r="H200" s="2">
        <v>100</v>
      </c>
      <c r="I200" s="2">
        <v>0</v>
      </c>
      <c r="J200" s="2">
        <v>100</v>
      </c>
      <c r="K200" s="2">
        <v>0</v>
      </c>
      <c r="L200" s="2">
        <v>15</v>
      </c>
      <c r="M200" s="2">
        <f>L200</f>
        <v>15</v>
      </c>
      <c r="N200" s="37"/>
      <c r="O200" s="5"/>
    </row>
    <row r="201" spans="1:15" ht="20.25" customHeight="1">
      <c r="A201" s="49"/>
      <c r="B201" s="34"/>
      <c r="C201" s="24" t="s">
        <v>14</v>
      </c>
      <c r="D201" s="1">
        <f t="shared" si="67"/>
        <v>2400</v>
      </c>
      <c r="E201" s="1">
        <f t="shared" si="67"/>
        <v>900</v>
      </c>
      <c r="F201" s="2">
        <f>G201+800+500</f>
        <v>2100</v>
      </c>
      <c r="G201" s="2">
        <v>800</v>
      </c>
      <c r="H201" s="2">
        <v>100</v>
      </c>
      <c r="I201" s="2">
        <v>0</v>
      </c>
      <c r="J201" s="2">
        <v>100</v>
      </c>
      <c r="K201" s="2">
        <v>0</v>
      </c>
      <c r="L201" s="2">
        <v>100</v>
      </c>
      <c r="M201" s="2">
        <f>L201</f>
        <v>100</v>
      </c>
      <c r="N201" s="37"/>
      <c r="O201" s="5"/>
    </row>
    <row r="202" spans="1:15" ht="20.25" customHeight="1">
      <c r="A202" s="49"/>
      <c r="B202" s="34"/>
      <c r="C202" s="24" t="s">
        <v>15</v>
      </c>
      <c r="D202" s="1">
        <f t="shared" si="67"/>
        <v>2410</v>
      </c>
      <c r="E202" s="1">
        <f t="shared" si="67"/>
        <v>910</v>
      </c>
      <c r="F202" s="2">
        <f>G202+800+500</f>
        <v>2100</v>
      </c>
      <c r="G202" s="2">
        <v>800</v>
      </c>
      <c r="H202" s="2">
        <v>100</v>
      </c>
      <c r="I202" s="2">
        <v>0</v>
      </c>
      <c r="J202" s="2">
        <v>100</v>
      </c>
      <c r="K202" s="2">
        <v>0</v>
      </c>
      <c r="L202" s="2">
        <v>110</v>
      </c>
      <c r="M202" s="2">
        <f>L202</f>
        <v>110</v>
      </c>
      <c r="N202" s="37"/>
      <c r="O202" s="5"/>
    </row>
    <row r="203" spans="1:15" ht="20.25" customHeight="1">
      <c r="A203" s="49"/>
      <c r="B203" s="34"/>
      <c r="C203" s="24" t="s">
        <v>16</v>
      </c>
      <c r="D203" s="1">
        <f t="shared" si="67"/>
        <v>2520</v>
      </c>
      <c r="E203" s="1">
        <f t="shared" si="67"/>
        <v>920</v>
      </c>
      <c r="F203" s="2">
        <f>G203+800+500</f>
        <v>2100</v>
      </c>
      <c r="G203" s="2">
        <v>800</v>
      </c>
      <c r="H203" s="2">
        <v>150</v>
      </c>
      <c r="I203" s="2">
        <v>0</v>
      </c>
      <c r="J203" s="2">
        <v>150</v>
      </c>
      <c r="K203" s="2">
        <v>0</v>
      </c>
      <c r="L203" s="2">
        <v>120</v>
      </c>
      <c r="M203" s="2">
        <f>L203</f>
        <v>120</v>
      </c>
      <c r="N203" s="37"/>
      <c r="O203" s="5"/>
    </row>
    <row r="204" spans="1:15" ht="20.25" customHeight="1">
      <c r="A204" s="49"/>
      <c r="B204" s="34"/>
      <c r="C204" s="24" t="s">
        <v>17</v>
      </c>
      <c r="D204" s="1">
        <f t="shared" si="67"/>
        <v>2820</v>
      </c>
      <c r="E204" s="1">
        <f t="shared" si="67"/>
        <v>0</v>
      </c>
      <c r="F204" s="2">
        <v>2400</v>
      </c>
      <c r="G204" s="2">
        <v>0</v>
      </c>
      <c r="H204" s="2">
        <v>150</v>
      </c>
      <c r="I204" s="2">
        <v>0</v>
      </c>
      <c r="J204" s="2">
        <v>150</v>
      </c>
      <c r="K204" s="2">
        <v>0</v>
      </c>
      <c r="L204" s="2">
        <v>120</v>
      </c>
      <c r="M204" s="2"/>
      <c r="N204" s="37"/>
      <c r="O204" s="5"/>
    </row>
    <row r="205" spans="1:15" ht="20.25" customHeight="1">
      <c r="A205" s="49"/>
      <c r="B205" s="34"/>
      <c r="C205" s="24" t="s">
        <v>18</v>
      </c>
      <c r="D205" s="1">
        <f t="shared" si="67"/>
        <v>3220</v>
      </c>
      <c r="E205" s="1">
        <f t="shared" si="67"/>
        <v>0</v>
      </c>
      <c r="F205" s="2">
        <v>2500</v>
      </c>
      <c r="G205" s="2">
        <v>0</v>
      </c>
      <c r="H205" s="2">
        <v>300</v>
      </c>
      <c r="I205" s="2">
        <v>0</v>
      </c>
      <c r="J205" s="2">
        <v>300</v>
      </c>
      <c r="K205" s="2">
        <v>0</v>
      </c>
      <c r="L205" s="2">
        <v>120</v>
      </c>
      <c r="M205" s="2"/>
      <c r="N205" s="37"/>
      <c r="O205" s="5"/>
    </row>
    <row r="206" spans="1:15" s="4" customFormat="1" ht="15.75" customHeight="1">
      <c r="A206" s="49"/>
      <c r="B206" s="34" t="s">
        <v>41</v>
      </c>
      <c r="C206" s="24" t="s">
        <v>12</v>
      </c>
      <c r="D206" s="1">
        <f>SUM(D207:D212)</f>
        <v>4084</v>
      </c>
      <c r="E206" s="1">
        <f aca="true" t="shared" si="68" ref="E206:M206">SUM(E207:E212)</f>
        <v>2050</v>
      </c>
      <c r="F206" s="2">
        <f t="shared" si="68"/>
        <v>3834</v>
      </c>
      <c r="G206" s="2">
        <f t="shared" si="68"/>
        <v>1800</v>
      </c>
      <c r="H206" s="2">
        <f t="shared" si="68"/>
        <v>0</v>
      </c>
      <c r="I206" s="2">
        <f t="shared" si="68"/>
        <v>0</v>
      </c>
      <c r="J206" s="2">
        <f t="shared" si="68"/>
        <v>0</v>
      </c>
      <c r="K206" s="2">
        <f t="shared" si="68"/>
        <v>0</v>
      </c>
      <c r="L206" s="2">
        <f t="shared" si="68"/>
        <v>250</v>
      </c>
      <c r="M206" s="2">
        <f t="shared" si="68"/>
        <v>250</v>
      </c>
      <c r="N206" s="37"/>
      <c r="O206" s="3"/>
    </row>
    <row r="207" spans="1:15" ht="15.75">
      <c r="A207" s="49"/>
      <c r="B207" s="34"/>
      <c r="C207" s="24" t="s">
        <v>13</v>
      </c>
      <c r="D207" s="1">
        <f aca="true" t="shared" si="69" ref="D207:E212">F207+H207+J207+L207</f>
        <v>700</v>
      </c>
      <c r="E207" s="1">
        <f t="shared" si="69"/>
        <v>250</v>
      </c>
      <c r="F207" s="2">
        <f>450+G207</f>
        <v>450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250</v>
      </c>
      <c r="M207" s="2">
        <f>L207</f>
        <v>250</v>
      </c>
      <c r="N207" s="37"/>
      <c r="O207" s="5"/>
    </row>
    <row r="208" spans="1:15" ht="15.75">
      <c r="A208" s="49"/>
      <c r="B208" s="34"/>
      <c r="C208" s="24" t="s">
        <v>14</v>
      </c>
      <c r="D208" s="1">
        <f t="shared" si="69"/>
        <v>600</v>
      </c>
      <c r="E208" s="1">
        <f t="shared" si="69"/>
        <v>600</v>
      </c>
      <c r="F208" s="2">
        <f>G208</f>
        <v>600</v>
      </c>
      <c r="G208" s="31">
        <v>600</v>
      </c>
      <c r="H208" s="2">
        <v>0</v>
      </c>
      <c r="I208" s="2">
        <v>0</v>
      </c>
      <c r="J208" s="2">
        <v>0</v>
      </c>
      <c r="K208" s="2">
        <v>0</v>
      </c>
      <c r="L208" s="2">
        <f>M208</f>
        <v>0</v>
      </c>
      <c r="M208" s="2">
        <v>0</v>
      </c>
      <c r="N208" s="37"/>
      <c r="O208" s="5"/>
    </row>
    <row r="209" spans="1:15" ht="15.75">
      <c r="A209" s="49"/>
      <c r="B209" s="34"/>
      <c r="C209" s="24" t="s">
        <v>15</v>
      </c>
      <c r="D209" s="1">
        <f t="shared" si="69"/>
        <v>600</v>
      </c>
      <c r="E209" s="1">
        <f t="shared" si="69"/>
        <v>600</v>
      </c>
      <c r="F209" s="2">
        <f>G209</f>
        <v>600</v>
      </c>
      <c r="G209" s="31">
        <v>600</v>
      </c>
      <c r="H209" s="2">
        <v>0</v>
      </c>
      <c r="I209" s="2">
        <v>0</v>
      </c>
      <c r="J209" s="2">
        <v>0</v>
      </c>
      <c r="K209" s="2">
        <v>0</v>
      </c>
      <c r="L209" s="2">
        <f>M209</f>
        <v>0</v>
      </c>
      <c r="M209" s="2">
        <v>0</v>
      </c>
      <c r="N209" s="37"/>
      <c r="O209" s="5"/>
    </row>
    <row r="210" spans="1:15" ht="15.75">
      <c r="A210" s="49"/>
      <c r="B210" s="34"/>
      <c r="C210" s="24" t="s">
        <v>16</v>
      </c>
      <c r="D210" s="1">
        <f t="shared" si="69"/>
        <v>600</v>
      </c>
      <c r="E210" s="1">
        <f t="shared" si="69"/>
        <v>600</v>
      </c>
      <c r="F210" s="2">
        <f>G210</f>
        <v>600</v>
      </c>
      <c r="G210" s="31">
        <v>600</v>
      </c>
      <c r="H210" s="2">
        <v>0</v>
      </c>
      <c r="I210" s="2">
        <v>0</v>
      </c>
      <c r="J210" s="2">
        <v>0</v>
      </c>
      <c r="K210" s="2">
        <v>0</v>
      </c>
      <c r="L210" s="2">
        <f>M210</f>
        <v>0</v>
      </c>
      <c r="M210" s="2">
        <v>0</v>
      </c>
      <c r="N210" s="37"/>
      <c r="O210" s="5"/>
    </row>
    <row r="211" spans="1:15" ht="15.75">
      <c r="A211" s="49"/>
      <c r="B211" s="34"/>
      <c r="C211" s="24" t="s">
        <v>17</v>
      </c>
      <c r="D211" s="1">
        <f t="shared" si="69"/>
        <v>720</v>
      </c>
      <c r="E211" s="1">
        <f t="shared" si="69"/>
        <v>0</v>
      </c>
      <c r="F211" s="2">
        <v>720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f>M211</f>
        <v>0</v>
      </c>
      <c r="M211" s="2">
        <v>0</v>
      </c>
      <c r="N211" s="37"/>
      <c r="O211" s="5"/>
    </row>
    <row r="212" spans="1:15" ht="15.75">
      <c r="A212" s="49"/>
      <c r="B212" s="34"/>
      <c r="C212" s="24" t="s">
        <v>18</v>
      </c>
      <c r="D212" s="1">
        <f t="shared" si="69"/>
        <v>864</v>
      </c>
      <c r="E212" s="1">
        <f t="shared" si="69"/>
        <v>0</v>
      </c>
      <c r="F212" s="2">
        <v>864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f>M212</f>
        <v>0</v>
      </c>
      <c r="M212" s="2">
        <v>0</v>
      </c>
      <c r="N212" s="37"/>
      <c r="O212" s="5"/>
    </row>
    <row r="213" spans="1:15" s="4" customFormat="1" ht="15.75" customHeight="1">
      <c r="A213" s="49"/>
      <c r="B213" s="34" t="s">
        <v>42</v>
      </c>
      <c r="C213" s="24" t="s">
        <v>12</v>
      </c>
      <c r="D213" s="1">
        <f>SUM(D214:D219)</f>
        <v>4055.9839999999995</v>
      </c>
      <c r="E213" s="1">
        <f aca="true" t="shared" si="70" ref="E213:M213">SUM(E214:E219)</f>
        <v>790</v>
      </c>
      <c r="F213" s="2">
        <f t="shared" si="70"/>
        <v>1720</v>
      </c>
      <c r="G213" s="2">
        <f t="shared" si="70"/>
        <v>600</v>
      </c>
      <c r="H213" s="2">
        <f t="shared" si="70"/>
        <v>992.992</v>
      </c>
      <c r="I213" s="2">
        <f t="shared" si="70"/>
        <v>0</v>
      </c>
      <c r="J213" s="2">
        <f t="shared" si="70"/>
        <v>992.992</v>
      </c>
      <c r="K213" s="2">
        <f t="shared" si="70"/>
        <v>0</v>
      </c>
      <c r="L213" s="2">
        <f t="shared" si="70"/>
        <v>350</v>
      </c>
      <c r="M213" s="2">
        <f t="shared" si="70"/>
        <v>190</v>
      </c>
      <c r="N213" s="37"/>
      <c r="O213" s="3"/>
    </row>
    <row r="214" spans="1:15" ht="15.75">
      <c r="A214" s="49"/>
      <c r="B214" s="34"/>
      <c r="C214" s="24" t="s">
        <v>13</v>
      </c>
      <c r="D214" s="1">
        <f aca="true" t="shared" si="71" ref="D214:E219">F214+H214+J214+L214</f>
        <v>800</v>
      </c>
      <c r="E214" s="1">
        <f t="shared" si="71"/>
        <v>0</v>
      </c>
      <c r="F214" s="2">
        <f>600+G214</f>
        <v>600</v>
      </c>
      <c r="G214" s="2">
        <v>0</v>
      </c>
      <c r="H214" s="2">
        <v>100</v>
      </c>
      <c r="I214" s="2">
        <v>0</v>
      </c>
      <c r="J214" s="2">
        <v>100</v>
      </c>
      <c r="K214" s="2">
        <v>0</v>
      </c>
      <c r="L214" s="2">
        <v>0</v>
      </c>
      <c r="M214" s="2">
        <f>L214</f>
        <v>0</v>
      </c>
      <c r="N214" s="37"/>
      <c r="O214" s="5"/>
    </row>
    <row r="215" spans="1:15" ht="15.75">
      <c r="A215" s="49"/>
      <c r="B215" s="34"/>
      <c r="C215" s="24" t="s">
        <v>14</v>
      </c>
      <c r="D215" s="1">
        <f t="shared" si="71"/>
        <v>500</v>
      </c>
      <c r="E215" s="1">
        <f t="shared" si="71"/>
        <v>260</v>
      </c>
      <c r="F215" s="2">
        <f>G215</f>
        <v>200</v>
      </c>
      <c r="G215" s="2">
        <v>200</v>
      </c>
      <c r="H215" s="2">
        <f>1.2*H214</f>
        <v>120</v>
      </c>
      <c r="I215" s="2">
        <v>0</v>
      </c>
      <c r="J215" s="2">
        <f>1.2*J214</f>
        <v>120</v>
      </c>
      <c r="K215" s="2">
        <v>0</v>
      </c>
      <c r="L215" s="2">
        <v>60</v>
      </c>
      <c r="M215" s="2">
        <f>L215</f>
        <v>60</v>
      </c>
      <c r="N215" s="37"/>
      <c r="O215" s="5"/>
    </row>
    <row r="216" spans="1:15" ht="15.75">
      <c r="A216" s="49"/>
      <c r="B216" s="34"/>
      <c r="C216" s="24" t="s">
        <v>15</v>
      </c>
      <c r="D216" s="1">
        <f t="shared" si="71"/>
        <v>548</v>
      </c>
      <c r="E216" s="1">
        <f t="shared" si="71"/>
        <v>260</v>
      </c>
      <c r="F216" s="2">
        <f>G216</f>
        <v>200</v>
      </c>
      <c r="G216" s="2">
        <v>200</v>
      </c>
      <c r="H216" s="2">
        <f aca="true" t="shared" si="72" ref="H216:J219">1.2*H215</f>
        <v>144</v>
      </c>
      <c r="I216" s="2">
        <v>0</v>
      </c>
      <c r="J216" s="2">
        <f t="shared" si="72"/>
        <v>144</v>
      </c>
      <c r="K216" s="2">
        <v>0</v>
      </c>
      <c r="L216" s="2">
        <v>60</v>
      </c>
      <c r="M216" s="2">
        <f>L216</f>
        <v>60</v>
      </c>
      <c r="N216" s="37"/>
      <c r="O216" s="5"/>
    </row>
    <row r="217" spans="1:15" ht="15.75">
      <c r="A217" s="49"/>
      <c r="B217" s="34"/>
      <c r="C217" s="24" t="s">
        <v>16</v>
      </c>
      <c r="D217" s="1">
        <f t="shared" si="71"/>
        <v>615.5999999999999</v>
      </c>
      <c r="E217" s="1">
        <f t="shared" si="71"/>
        <v>270</v>
      </c>
      <c r="F217" s="2">
        <f>G217</f>
        <v>200</v>
      </c>
      <c r="G217" s="2">
        <v>200</v>
      </c>
      <c r="H217" s="2">
        <f t="shared" si="72"/>
        <v>172.79999999999998</v>
      </c>
      <c r="I217" s="2">
        <v>0</v>
      </c>
      <c r="J217" s="2">
        <f t="shared" si="72"/>
        <v>172.79999999999998</v>
      </c>
      <c r="K217" s="2">
        <v>0</v>
      </c>
      <c r="L217" s="2">
        <v>70</v>
      </c>
      <c r="M217" s="2">
        <f>L217</f>
        <v>70</v>
      </c>
      <c r="N217" s="37"/>
      <c r="O217" s="5"/>
    </row>
    <row r="218" spans="1:15" ht="15.75">
      <c r="A218" s="49"/>
      <c r="B218" s="34"/>
      <c r="C218" s="24" t="s">
        <v>17</v>
      </c>
      <c r="D218" s="1">
        <f t="shared" si="71"/>
        <v>734.72</v>
      </c>
      <c r="E218" s="1">
        <f t="shared" si="71"/>
        <v>0</v>
      </c>
      <c r="F218" s="2">
        <v>240</v>
      </c>
      <c r="G218" s="2">
        <v>0</v>
      </c>
      <c r="H218" s="2">
        <f t="shared" si="72"/>
        <v>207.35999999999999</v>
      </c>
      <c r="I218" s="2">
        <v>0</v>
      </c>
      <c r="J218" s="2">
        <f t="shared" si="72"/>
        <v>207.35999999999999</v>
      </c>
      <c r="K218" s="2">
        <v>0</v>
      </c>
      <c r="L218" s="2">
        <v>80</v>
      </c>
      <c r="M218" s="2"/>
      <c r="N218" s="37"/>
      <c r="O218" s="5"/>
    </row>
    <row r="219" spans="1:15" ht="15.75">
      <c r="A219" s="49"/>
      <c r="B219" s="34"/>
      <c r="C219" s="24" t="s">
        <v>18</v>
      </c>
      <c r="D219" s="1">
        <f t="shared" si="71"/>
        <v>857.664</v>
      </c>
      <c r="E219" s="1">
        <f t="shared" si="71"/>
        <v>0</v>
      </c>
      <c r="F219" s="2">
        <v>280</v>
      </c>
      <c r="G219" s="2">
        <v>0</v>
      </c>
      <c r="H219" s="2">
        <f t="shared" si="72"/>
        <v>248.83199999999997</v>
      </c>
      <c r="I219" s="2">
        <v>0</v>
      </c>
      <c r="J219" s="2">
        <f t="shared" si="72"/>
        <v>248.83199999999997</v>
      </c>
      <c r="K219" s="2">
        <v>0</v>
      </c>
      <c r="L219" s="2">
        <v>80</v>
      </c>
      <c r="M219" s="2"/>
      <c r="N219" s="37"/>
      <c r="O219" s="5"/>
    </row>
    <row r="220" spans="1:15" s="4" customFormat="1" ht="15.75" customHeight="1">
      <c r="A220" s="49"/>
      <c r="B220" s="34" t="s">
        <v>43</v>
      </c>
      <c r="C220" s="24" t="s">
        <v>12</v>
      </c>
      <c r="D220" s="1">
        <f aca="true" t="shared" si="73" ref="D220:M220">SUM(D221:D226)</f>
        <v>8527.984</v>
      </c>
      <c r="E220" s="1">
        <f t="shared" si="73"/>
        <v>3510</v>
      </c>
      <c r="F220" s="2">
        <f t="shared" si="73"/>
        <v>6202</v>
      </c>
      <c r="G220" s="2">
        <f t="shared" si="73"/>
        <v>3290</v>
      </c>
      <c r="H220" s="2">
        <f t="shared" si="73"/>
        <v>0</v>
      </c>
      <c r="I220" s="2">
        <f t="shared" si="73"/>
        <v>0</v>
      </c>
      <c r="J220" s="2">
        <f t="shared" si="73"/>
        <v>1985.984</v>
      </c>
      <c r="K220" s="2">
        <f t="shared" si="73"/>
        <v>0</v>
      </c>
      <c r="L220" s="2">
        <f t="shared" si="73"/>
        <v>340</v>
      </c>
      <c r="M220" s="2">
        <f t="shared" si="73"/>
        <v>220</v>
      </c>
      <c r="N220" s="37"/>
      <c r="O220" s="3"/>
    </row>
    <row r="221" spans="1:15" ht="15.75">
      <c r="A221" s="49"/>
      <c r="B221" s="34"/>
      <c r="C221" s="24" t="s">
        <v>13</v>
      </c>
      <c r="D221" s="1">
        <f aca="true" t="shared" si="74" ref="D221:E226">F221+H221+J221+L221</f>
        <v>1940</v>
      </c>
      <c r="E221" s="1">
        <f>G221+I221+K221+M221</f>
        <v>940</v>
      </c>
      <c r="F221" s="2">
        <f>800+G221</f>
        <v>1690</v>
      </c>
      <c r="G221" s="2">
        <f>890</f>
        <v>890</v>
      </c>
      <c r="H221" s="2">
        <v>0</v>
      </c>
      <c r="I221" s="2">
        <v>0</v>
      </c>
      <c r="J221" s="2">
        <f>200</f>
        <v>200</v>
      </c>
      <c r="K221" s="2">
        <v>0</v>
      </c>
      <c r="L221" s="2">
        <v>50</v>
      </c>
      <c r="M221" s="2">
        <v>50</v>
      </c>
      <c r="N221" s="37"/>
      <c r="O221" s="5"/>
    </row>
    <row r="222" spans="1:15" ht="15.75">
      <c r="A222" s="49"/>
      <c r="B222" s="34"/>
      <c r="C222" s="24" t="s">
        <v>14</v>
      </c>
      <c r="D222" s="1">
        <f t="shared" si="74"/>
        <v>1090</v>
      </c>
      <c r="E222" s="1">
        <f t="shared" si="74"/>
        <v>850</v>
      </c>
      <c r="F222" s="2">
        <f>G222</f>
        <v>800</v>
      </c>
      <c r="G222" s="2">
        <v>800</v>
      </c>
      <c r="H222" s="2">
        <v>0</v>
      </c>
      <c r="I222" s="2">
        <v>0</v>
      </c>
      <c r="J222" s="2">
        <f>1.2*200</f>
        <v>240</v>
      </c>
      <c r="K222" s="2">
        <v>0</v>
      </c>
      <c r="L222" s="2">
        <v>50</v>
      </c>
      <c r="M222" s="2">
        <v>50</v>
      </c>
      <c r="N222" s="37"/>
      <c r="O222" s="5"/>
    </row>
    <row r="223" spans="1:15" ht="15.75">
      <c r="A223" s="49"/>
      <c r="B223" s="34"/>
      <c r="C223" s="24" t="s">
        <v>15</v>
      </c>
      <c r="D223" s="1">
        <f t="shared" si="74"/>
        <v>1148</v>
      </c>
      <c r="E223" s="1">
        <f t="shared" si="74"/>
        <v>860</v>
      </c>
      <c r="F223" s="2">
        <f>G223</f>
        <v>800</v>
      </c>
      <c r="G223" s="2">
        <v>800</v>
      </c>
      <c r="H223" s="2">
        <v>0</v>
      </c>
      <c r="I223" s="2">
        <v>0</v>
      </c>
      <c r="J223" s="2">
        <f>1.2*J222</f>
        <v>288</v>
      </c>
      <c r="K223" s="2">
        <v>0</v>
      </c>
      <c r="L223" s="2">
        <v>60</v>
      </c>
      <c r="M223" s="2">
        <v>60</v>
      </c>
      <c r="N223" s="37"/>
      <c r="O223" s="5"/>
    </row>
    <row r="224" spans="1:15" ht="15.75">
      <c r="A224" s="49"/>
      <c r="B224" s="34"/>
      <c r="C224" s="24" t="s">
        <v>16</v>
      </c>
      <c r="D224" s="1">
        <f t="shared" si="74"/>
        <v>1205.6</v>
      </c>
      <c r="E224" s="1">
        <f t="shared" si="74"/>
        <v>860</v>
      </c>
      <c r="F224" s="2">
        <f>G224</f>
        <v>800</v>
      </c>
      <c r="G224" s="2">
        <v>800</v>
      </c>
      <c r="H224" s="2">
        <v>0</v>
      </c>
      <c r="I224" s="2">
        <v>0</v>
      </c>
      <c r="J224" s="2">
        <f>1.2*J223</f>
        <v>345.59999999999997</v>
      </c>
      <c r="K224" s="2">
        <v>0</v>
      </c>
      <c r="L224" s="2">
        <v>60</v>
      </c>
      <c r="M224" s="2">
        <v>60</v>
      </c>
      <c r="N224" s="37"/>
      <c r="O224" s="5"/>
    </row>
    <row r="225" spans="1:15" ht="15.75">
      <c r="A225" s="49"/>
      <c r="B225" s="34"/>
      <c r="C225" s="24" t="s">
        <v>17</v>
      </c>
      <c r="D225" s="1">
        <f t="shared" si="74"/>
        <v>1434.72</v>
      </c>
      <c r="E225" s="1">
        <f t="shared" si="74"/>
        <v>0</v>
      </c>
      <c r="F225" s="2">
        <v>960</v>
      </c>
      <c r="G225" s="2">
        <v>0</v>
      </c>
      <c r="H225" s="2">
        <v>0</v>
      </c>
      <c r="I225" s="2">
        <v>0</v>
      </c>
      <c r="J225" s="2">
        <f>1.2*J224</f>
        <v>414.71999999999997</v>
      </c>
      <c r="K225" s="2">
        <v>0</v>
      </c>
      <c r="L225" s="2">
        <v>60</v>
      </c>
      <c r="M225" s="2"/>
      <c r="N225" s="37"/>
      <c r="O225" s="5"/>
    </row>
    <row r="226" spans="1:15" ht="15.75">
      <c r="A226" s="49"/>
      <c r="B226" s="34"/>
      <c r="C226" s="24" t="s">
        <v>18</v>
      </c>
      <c r="D226" s="1">
        <f t="shared" si="74"/>
        <v>1709.664</v>
      </c>
      <c r="E226" s="1">
        <f t="shared" si="74"/>
        <v>0</v>
      </c>
      <c r="F226" s="2">
        <v>1152</v>
      </c>
      <c r="G226" s="2">
        <v>0</v>
      </c>
      <c r="H226" s="2">
        <v>0</v>
      </c>
      <c r="I226" s="2">
        <v>0</v>
      </c>
      <c r="J226" s="2">
        <f>1.2*J225</f>
        <v>497.66399999999993</v>
      </c>
      <c r="K226" s="2">
        <v>0</v>
      </c>
      <c r="L226" s="2">
        <v>60</v>
      </c>
      <c r="M226" s="2"/>
      <c r="N226" s="37"/>
      <c r="O226" s="5"/>
    </row>
    <row r="227" spans="1:17" s="4" customFormat="1" ht="15.75" customHeight="1">
      <c r="A227" s="49"/>
      <c r="B227" s="44" t="s">
        <v>47</v>
      </c>
      <c r="C227" s="24" t="s">
        <v>12</v>
      </c>
      <c r="D227" s="1">
        <f>SUM(D228:D233)</f>
        <v>7714.1</v>
      </c>
      <c r="E227" s="1">
        <f aca="true" t="shared" si="75" ref="E227:M227">SUM(E228:E233)</f>
        <v>1190.3000000000002</v>
      </c>
      <c r="F227" s="2">
        <f t="shared" si="75"/>
        <v>7666.1</v>
      </c>
      <c r="G227" s="2">
        <f t="shared" si="75"/>
        <v>1142.3000000000002</v>
      </c>
      <c r="H227" s="2">
        <f t="shared" si="75"/>
        <v>0</v>
      </c>
      <c r="I227" s="2">
        <f t="shared" si="75"/>
        <v>0</v>
      </c>
      <c r="J227" s="2">
        <f t="shared" si="75"/>
        <v>0</v>
      </c>
      <c r="K227" s="2">
        <f t="shared" si="75"/>
        <v>0</v>
      </c>
      <c r="L227" s="2">
        <f t="shared" si="75"/>
        <v>48</v>
      </c>
      <c r="M227" s="2">
        <f t="shared" si="75"/>
        <v>48</v>
      </c>
      <c r="N227" s="37"/>
      <c r="O227" s="3"/>
      <c r="P227" s="6"/>
      <c r="Q227" s="6"/>
    </row>
    <row r="228" spans="1:15" ht="15.75">
      <c r="A228" s="49"/>
      <c r="B228" s="44"/>
      <c r="C228" s="24" t="s">
        <v>13</v>
      </c>
      <c r="D228" s="1">
        <f aca="true" t="shared" si="76" ref="D228:E233">F228+H228+J228+L228</f>
        <v>362.1</v>
      </c>
      <c r="E228" s="1">
        <f t="shared" si="76"/>
        <v>248</v>
      </c>
      <c r="F228" s="2">
        <v>314.1</v>
      </c>
      <c r="G228" s="2">
        <v>200</v>
      </c>
      <c r="H228" s="2"/>
      <c r="I228" s="2">
        <v>0</v>
      </c>
      <c r="J228" s="2">
        <v>0</v>
      </c>
      <c r="K228" s="2">
        <v>0</v>
      </c>
      <c r="L228" s="2">
        <v>48</v>
      </c>
      <c r="M228" s="2">
        <f>L228</f>
        <v>48</v>
      </c>
      <c r="N228" s="37"/>
      <c r="O228" s="22"/>
    </row>
    <row r="229" spans="1:15" ht="15.75">
      <c r="A229" s="49"/>
      <c r="B229" s="44"/>
      <c r="C229" s="24" t="s">
        <v>14</v>
      </c>
      <c r="D229" s="1">
        <f t="shared" si="76"/>
        <v>1470.4</v>
      </c>
      <c r="E229" s="1">
        <f t="shared" si="76"/>
        <v>314.1</v>
      </c>
      <c r="F229" s="2">
        <f>314.1+1156.3</f>
        <v>1470.4</v>
      </c>
      <c r="G229" s="2">
        <v>314.1</v>
      </c>
      <c r="H229" s="2">
        <v>0</v>
      </c>
      <c r="I229" s="2">
        <v>0</v>
      </c>
      <c r="J229" s="2">
        <f>1.2*J228</f>
        <v>0</v>
      </c>
      <c r="K229" s="2">
        <v>0</v>
      </c>
      <c r="L229" s="2">
        <v>0</v>
      </c>
      <c r="M229" s="2">
        <v>0</v>
      </c>
      <c r="N229" s="37"/>
      <c r="O229" s="5"/>
    </row>
    <row r="230" spans="1:15" ht="15.75">
      <c r="A230" s="49"/>
      <c r="B230" s="44"/>
      <c r="C230" s="24" t="s">
        <v>15</v>
      </c>
      <c r="D230" s="1">
        <f t="shared" si="76"/>
        <v>1470.4</v>
      </c>
      <c r="E230" s="1">
        <f t="shared" si="76"/>
        <v>314.1</v>
      </c>
      <c r="F230" s="2">
        <f>314.1+1156.3</f>
        <v>1470.4</v>
      </c>
      <c r="G230" s="2">
        <v>314.1</v>
      </c>
      <c r="H230" s="2">
        <v>0</v>
      </c>
      <c r="I230" s="2">
        <v>0</v>
      </c>
      <c r="J230" s="2">
        <f>1.2*J229</f>
        <v>0</v>
      </c>
      <c r="K230" s="2">
        <v>0</v>
      </c>
      <c r="L230" s="2">
        <v>0</v>
      </c>
      <c r="M230" s="2">
        <v>0</v>
      </c>
      <c r="N230" s="37"/>
      <c r="O230" s="5"/>
    </row>
    <row r="231" spans="1:15" ht="15.75">
      <c r="A231" s="49"/>
      <c r="B231" s="44"/>
      <c r="C231" s="24" t="s">
        <v>16</v>
      </c>
      <c r="D231" s="1">
        <f t="shared" si="76"/>
        <v>1470.4</v>
      </c>
      <c r="E231" s="1">
        <f t="shared" si="76"/>
        <v>314.1</v>
      </c>
      <c r="F231" s="2">
        <f>314.1+1156.3</f>
        <v>1470.4</v>
      </c>
      <c r="G231" s="2">
        <v>314.1</v>
      </c>
      <c r="H231" s="2">
        <v>0</v>
      </c>
      <c r="I231" s="2">
        <v>0</v>
      </c>
      <c r="J231" s="2">
        <f>1.2*J230</f>
        <v>0</v>
      </c>
      <c r="K231" s="2">
        <v>0</v>
      </c>
      <c r="L231" s="2">
        <v>0</v>
      </c>
      <c r="M231" s="2">
        <v>0</v>
      </c>
      <c r="N231" s="37"/>
      <c r="O231" s="5"/>
    </row>
    <row r="232" spans="1:15" ht="15.75">
      <c r="A232" s="49"/>
      <c r="B232" s="44"/>
      <c r="C232" s="24" t="s">
        <v>17</v>
      </c>
      <c r="D232" s="1">
        <f t="shared" si="76"/>
        <v>1470.4</v>
      </c>
      <c r="E232" s="1">
        <f t="shared" si="76"/>
        <v>0</v>
      </c>
      <c r="F232" s="2">
        <f>314.1+1156.3</f>
        <v>1470.4</v>
      </c>
      <c r="G232" s="2"/>
      <c r="H232" s="2">
        <v>0</v>
      </c>
      <c r="I232" s="2">
        <v>0</v>
      </c>
      <c r="J232" s="2">
        <f>1.2*J231</f>
        <v>0</v>
      </c>
      <c r="K232" s="2">
        <v>0</v>
      </c>
      <c r="L232" s="2">
        <v>0</v>
      </c>
      <c r="M232" s="2">
        <v>0</v>
      </c>
      <c r="N232" s="37"/>
      <c r="O232" s="5"/>
    </row>
    <row r="233" spans="1:15" ht="15.75">
      <c r="A233" s="50"/>
      <c r="B233" s="44"/>
      <c r="C233" s="24" t="s">
        <v>18</v>
      </c>
      <c r="D233" s="1">
        <f t="shared" si="76"/>
        <v>1470.4</v>
      </c>
      <c r="E233" s="1">
        <f t="shared" si="76"/>
        <v>0</v>
      </c>
      <c r="F233" s="2">
        <f>314.1+1156.3</f>
        <v>1470.4</v>
      </c>
      <c r="G233" s="2"/>
      <c r="H233" s="2">
        <v>0</v>
      </c>
      <c r="I233" s="2">
        <v>0</v>
      </c>
      <c r="J233" s="2">
        <f>1.2*J232</f>
        <v>0</v>
      </c>
      <c r="K233" s="2">
        <v>0</v>
      </c>
      <c r="L233" s="2">
        <v>0</v>
      </c>
      <c r="M233" s="2">
        <v>0</v>
      </c>
      <c r="N233" s="37"/>
      <c r="O233" s="5"/>
    </row>
    <row r="234" spans="1:15" s="16" customFormat="1" ht="15.75">
      <c r="A234" s="39"/>
      <c r="B234" s="40" t="s">
        <v>60</v>
      </c>
      <c r="C234" s="25" t="s">
        <v>12</v>
      </c>
      <c r="D234" s="1">
        <f>SUM(D235:D240)</f>
        <v>3338753.485</v>
      </c>
      <c r="E234" s="1">
        <f aca="true" t="shared" si="77" ref="E234:K234">SUM(E235:E240)</f>
        <v>1585473.6</v>
      </c>
      <c r="F234" s="1">
        <f t="shared" si="77"/>
        <v>1737565.3899999997</v>
      </c>
      <c r="G234" s="1">
        <f t="shared" si="77"/>
        <v>995622.2000000002</v>
      </c>
      <c r="H234" s="1">
        <f t="shared" si="77"/>
        <v>20943.687250000003</v>
      </c>
      <c r="I234" s="1">
        <f t="shared" si="77"/>
        <v>0</v>
      </c>
      <c r="J234" s="1">
        <f t="shared" si="77"/>
        <v>1299851.0077499999</v>
      </c>
      <c r="K234" s="1">
        <f t="shared" si="77"/>
        <v>396360.2</v>
      </c>
      <c r="L234" s="1">
        <f>SUM(L235:L240)</f>
        <v>280393.4</v>
      </c>
      <c r="M234" s="1">
        <f>SUM(M235:M240)</f>
        <v>193491.2</v>
      </c>
      <c r="N234" s="37"/>
      <c r="O234" s="5"/>
    </row>
    <row r="235" spans="1:18" s="16" customFormat="1" ht="15.75">
      <c r="A235" s="39"/>
      <c r="B235" s="40"/>
      <c r="C235" s="25" t="s">
        <v>13</v>
      </c>
      <c r="D235" s="1">
        <f>F235+H235+J235+L235</f>
        <v>423497.10000000003</v>
      </c>
      <c r="E235" s="1">
        <f aca="true" t="shared" si="78" ref="D235:E240">G235+I235+K235+M235</f>
        <v>369330.50000000006</v>
      </c>
      <c r="F235" s="1">
        <f>F25+F67+F88+F151</f>
        <v>287073</v>
      </c>
      <c r="G235" s="1">
        <f aca="true" t="shared" si="79" ref="F235:M240">G25+G67+G88+G151</f>
        <v>242825.40000000002</v>
      </c>
      <c r="H235" s="1">
        <f t="shared" si="79"/>
        <v>3225</v>
      </c>
      <c r="I235" s="1">
        <f t="shared" si="79"/>
        <v>0</v>
      </c>
      <c r="J235" s="1">
        <f t="shared" si="79"/>
        <v>69836.9</v>
      </c>
      <c r="K235" s="1">
        <f t="shared" si="79"/>
        <v>63142.9</v>
      </c>
      <c r="L235" s="1">
        <f t="shared" si="79"/>
        <v>63362.2</v>
      </c>
      <c r="M235" s="1">
        <f t="shared" si="79"/>
        <v>63362.2</v>
      </c>
      <c r="N235" s="37"/>
      <c r="O235" s="5"/>
      <c r="P235" s="15"/>
      <c r="Q235" s="15"/>
      <c r="R235" s="15"/>
    </row>
    <row r="236" spans="1:18" s="16" customFormat="1" ht="15.75">
      <c r="A236" s="39"/>
      <c r="B236" s="40"/>
      <c r="C236" s="25" t="s">
        <v>14</v>
      </c>
      <c r="D236" s="1">
        <f t="shared" si="78"/>
        <v>452525.85000000003</v>
      </c>
      <c r="E236" s="1">
        <f>G236+I236+K236+M236</f>
        <v>430145.00000000006</v>
      </c>
      <c r="F236" s="1">
        <f t="shared" si="79"/>
        <v>266121.45</v>
      </c>
      <c r="G236" s="1">
        <f t="shared" si="79"/>
        <v>253761.60000000003</v>
      </c>
      <c r="H236" s="1">
        <f t="shared" si="79"/>
        <v>3297.5</v>
      </c>
      <c r="I236" s="1">
        <v>0</v>
      </c>
      <c r="J236" s="1">
        <f t="shared" si="79"/>
        <v>139880.1</v>
      </c>
      <c r="K236" s="1">
        <f t="shared" si="79"/>
        <v>133156.6</v>
      </c>
      <c r="L236" s="1">
        <f t="shared" si="79"/>
        <v>43226.8</v>
      </c>
      <c r="M236" s="1">
        <f t="shared" si="79"/>
        <v>43226.8</v>
      </c>
      <c r="N236" s="37"/>
      <c r="O236" s="5"/>
      <c r="P236" s="15"/>
      <c r="Q236" s="15"/>
      <c r="R236" s="15"/>
    </row>
    <row r="237" spans="1:17" s="16" customFormat="1" ht="15.75">
      <c r="A237" s="39"/>
      <c r="B237" s="40"/>
      <c r="C237" s="25" t="s">
        <v>15</v>
      </c>
      <c r="D237" s="1">
        <f t="shared" si="78"/>
        <v>514296.05</v>
      </c>
      <c r="E237" s="1">
        <f t="shared" si="78"/>
        <v>493409.4</v>
      </c>
      <c r="F237" s="1">
        <f t="shared" si="79"/>
        <v>261957.45</v>
      </c>
      <c r="G237" s="1">
        <f t="shared" si="79"/>
        <v>249897.60000000003</v>
      </c>
      <c r="H237" s="1">
        <f t="shared" si="79"/>
        <v>3379.25</v>
      </c>
      <c r="I237" s="1">
        <f>I27+I69+I90+I153</f>
        <v>0</v>
      </c>
      <c r="J237" s="1">
        <f t="shared" si="79"/>
        <v>205508.25</v>
      </c>
      <c r="K237" s="1">
        <f t="shared" si="79"/>
        <v>200060.7</v>
      </c>
      <c r="L237" s="1">
        <f t="shared" si="79"/>
        <v>43451.1</v>
      </c>
      <c r="M237" s="1">
        <f t="shared" si="79"/>
        <v>43451.1</v>
      </c>
      <c r="N237" s="37"/>
      <c r="O237" s="5"/>
      <c r="P237" s="15"/>
      <c r="Q237" s="15"/>
    </row>
    <row r="238" spans="1:15" s="16" customFormat="1" ht="15.75">
      <c r="A238" s="39"/>
      <c r="B238" s="40"/>
      <c r="C238" s="25" t="s">
        <v>16</v>
      </c>
      <c r="D238" s="1">
        <f t="shared" si="78"/>
        <v>551887.73</v>
      </c>
      <c r="E238" s="1">
        <f t="shared" si="78"/>
        <v>292588.7</v>
      </c>
      <c r="F238" s="1">
        <f t="shared" si="79"/>
        <v>261197.45</v>
      </c>
      <c r="G238" s="1">
        <f t="shared" si="79"/>
        <v>249137.60000000003</v>
      </c>
      <c r="H238" s="1">
        <f t="shared" si="79"/>
        <v>3521.575</v>
      </c>
      <c r="I238" s="1">
        <f>I28+I70+I91+I154</f>
        <v>0</v>
      </c>
      <c r="J238" s="1">
        <f t="shared" si="79"/>
        <v>243717.60499999998</v>
      </c>
      <c r="K238" s="1">
        <f t="shared" si="79"/>
        <v>0</v>
      </c>
      <c r="L238" s="1">
        <f t="shared" si="79"/>
        <v>43451.1</v>
      </c>
      <c r="M238" s="1">
        <f t="shared" si="79"/>
        <v>43451.1</v>
      </c>
      <c r="N238" s="37"/>
      <c r="O238" s="5"/>
    </row>
    <row r="239" spans="1:16" s="16" customFormat="1" ht="15.75">
      <c r="A239" s="39"/>
      <c r="B239" s="40"/>
      <c r="C239" s="25" t="s">
        <v>17</v>
      </c>
      <c r="D239" s="1">
        <f t="shared" si="78"/>
        <v>648932.718</v>
      </c>
      <c r="E239" s="1">
        <f t="shared" si="78"/>
        <v>0</v>
      </c>
      <c r="F239" s="1">
        <f t="shared" si="79"/>
        <v>310649.12</v>
      </c>
      <c r="G239" s="1">
        <f t="shared" si="79"/>
        <v>0</v>
      </c>
      <c r="H239" s="1">
        <f t="shared" si="79"/>
        <v>3626.0125000000003</v>
      </c>
      <c r="I239" s="1">
        <f>I29+I71+I92+I155</f>
        <v>0</v>
      </c>
      <c r="J239" s="1">
        <f t="shared" si="79"/>
        <v>291206.4855</v>
      </c>
      <c r="K239" s="1">
        <f t="shared" si="79"/>
        <v>0</v>
      </c>
      <c r="L239" s="1">
        <f t="shared" si="79"/>
        <v>43451.1</v>
      </c>
      <c r="M239" s="1">
        <f t="shared" si="79"/>
        <v>0</v>
      </c>
      <c r="N239" s="37"/>
      <c r="O239" s="5"/>
      <c r="P239" s="15"/>
    </row>
    <row r="240" spans="1:15" s="16" customFormat="1" ht="15.75">
      <c r="A240" s="39"/>
      <c r="B240" s="40"/>
      <c r="C240" s="25" t="s">
        <v>18</v>
      </c>
      <c r="D240" s="1">
        <f t="shared" si="78"/>
        <v>747614.037</v>
      </c>
      <c r="E240" s="1">
        <f t="shared" si="78"/>
        <v>0</v>
      </c>
      <c r="F240" s="1">
        <f t="shared" si="79"/>
        <v>350566.92000000004</v>
      </c>
      <c r="G240" s="1">
        <f t="shared" si="79"/>
        <v>0</v>
      </c>
      <c r="H240" s="1">
        <f t="shared" si="79"/>
        <v>3894.34975</v>
      </c>
      <c r="I240" s="1">
        <f>I30+I72+I93+I156</f>
        <v>0</v>
      </c>
      <c r="J240" s="1">
        <f t="shared" si="79"/>
        <v>349701.66725</v>
      </c>
      <c r="K240" s="1">
        <f t="shared" si="79"/>
        <v>0</v>
      </c>
      <c r="L240" s="1">
        <f t="shared" si="79"/>
        <v>43451.1</v>
      </c>
      <c r="M240" s="1">
        <f t="shared" si="79"/>
        <v>0</v>
      </c>
      <c r="N240" s="32"/>
      <c r="O240" s="5"/>
    </row>
    <row r="241" spans="5:6" ht="15.75" hidden="1">
      <c r="E241" s="9">
        <v>2015</v>
      </c>
      <c r="F241" s="23"/>
    </row>
    <row r="242" spans="2:9" ht="15.75" hidden="1">
      <c r="B242" s="63" t="s">
        <v>63</v>
      </c>
      <c r="C242" s="63"/>
      <c r="D242" s="63"/>
      <c r="E242" s="9">
        <v>2016</v>
      </c>
      <c r="F242" s="23">
        <f>F236-G236</f>
        <v>12359.849999999977</v>
      </c>
      <c r="G242" s="23">
        <f>4835.1+1025.3+4825.53+1673.94</f>
        <v>12359.87</v>
      </c>
      <c r="H242" s="35" t="s">
        <v>65</v>
      </c>
      <c r="I242" s="35"/>
    </row>
    <row r="243" spans="5:7" ht="15.75" hidden="1">
      <c r="E243" s="9">
        <v>2017</v>
      </c>
      <c r="F243" s="23">
        <f>F237-G237</f>
        <v>12059.849999999977</v>
      </c>
      <c r="G243" s="23"/>
    </row>
    <row r="244" spans="5:7" ht="15.75" hidden="1">
      <c r="E244" s="9">
        <v>2018</v>
      </c>
      <c r="F244" s="23">
        <f>F238-G238</f>
        <v>12059.849999999977</v>
      </c>
      <c r="G244" s="23"/>
    </row>
    <row r="245" ht="15.75">
      <c r="F245" s="23"/>
    </row>
  </sheetData>
  <sheetProtection/>
  <mergeCells count="63">
    <mergeCell ref="B25:B30"/>
    <mergeCell ref="N17:N18"/>
    <mergeCell ref="F18:G18"/>
    <mergeCell ref="H18:I18"/>
    <mergeCell ref="J18:K18"/>
    <mergeCell ref="L18:M18"/>
    <mergeCell ref="N24:N65"/>
    <mergeCell ref="B31:B37"/>
    <mergeCell ref="B38:B44"/>
    <mergeCell ref="B242:D242"/>
    <mergeCell ref="A14:N14"/>
    <mergeCell ref="A21:N21"/>
    <mergeCell ref="A22:N22"/>
    <mergeCell ref="A23:N23"/>
    <mergeCell ref="A17:A19"/>
    <mergeCell ref="B17:B19"/>
    <mergeCell ref="C17:C19"/>
    <mergeCell ref="D17:E18"/>
    <mergeCell ref="F17:M17"/>
    <mergeCell ref="A9:N9"/>
    <mergeCell ref="A12:N12"/>
    <mergeCell ref="A1:N1"/>
    <mergeCell ref="A2:N2"/>
    <mergeCell ref="A3:N3"/>
    <mergeCell ref="A4:N4"/>
    <mergeCell ref="K5:N8"/>
    <mergeCell ref="B67:B72"/>
    <mergeCell ref="B45:B51"/>
    <mergeCell ref="B80:B86"/>
    <mergeCell ref="B94:B100"/>
    <mergeCell ref="B73:B79"/>
    <mergeCell ref="B52:B58"/>
    <mergeCell ref="B59:B65"/>
    <mergeCell ref="A24:A65"/>
    <mergeCell ref="A66:A86"/>
    <mergeCell ref="A150:A233"/>
    <mergeCell ref="B178:B184"/>
    <mergeCell ref="B206:B212"/>
    <mergeCell ref="B213:B219"/>
    <mergeCell ref="B199:B205"/>
    <mergeCell ref="B192:B198"/>
    <mergeCell ref="B220:B226"/>
    <mergeCell ref="B88:B93"/>
    <mergeCell ref="A234:A240"/>
    <mergeCell ref="B234:B240"/>
    <mergeCell ref="A87:A149"/>
    <mergeCell ref="B227:B233"/>
    <mergeCell ref="B151:B156"/>
    <mergeCell ref="B143:B149"/>
    <mergeCell ref="B101:B107"/>
    <mergeCell ref="B108:B114"/>
    <mergeCell ref="B115:B121"/>
    <mergeCell ref="B185:B191"/>
    <mergeCell ref="B122:B128"/>
    <mergeCell ref="H242:I242"/>
    <mergeCell ref="N66:N86"/>
    <mergeCell ref="N87:N149"/>
    <mergeCell ref="N150:N240"/>
    <mergeCell ref="B164:B170"/>
    <mergeCell ref="B171:B177"/>
    <mergeCell ref="B136:B142"/>
    <mergeCell ref="B129:B135"/>
    <mergeCell ref="B157:B163"/>
  </mergeCells>
  <printOptions/>
  <pageMargins left="0.16" right="0.15748031496062992" top="0.1968503937007874" bottom="0.1968503937007874" header="0.31496062992125984" footer="0.31496062992125984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2016-03-23T03:30:33Z</cp:lastPrinted>
  <dcterms:created xsi:type="dcterms:W3CDTF">2014-06-24T05:35:40Z</dcterms:created>
  <dcterms:modified xsi:type="dcterms:W3CDTF">2016-03-23T08:08:27Z</dcterms:modified>
  <cp:category/>
  <cp:version/>
  <cp:contentType/>
  <cp:contentStatus/>
</cp:coreProperties>
</file>