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37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18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18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<sst xmlns="http://schemas.openxmlformats.org/spreadsheetml/2006/main" count="373" uniqueCount="103">
  <si>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</si>
  <si>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</si>
  <si>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</si>
  <si>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</si>
  <si>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</si>
  <si>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</si>
  <si>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</si>
  <si>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</si>
  <si>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</si>
  <si>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</si>
  <si>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</si>
  <si>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</si>
  <si>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</si>
  <si>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</si>
  <si>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</si>
  <si>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</si>
  <si>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</si>
  <si>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</si>
  <si>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</si>
  <si>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</si>
  <si>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</si>
  <si>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</si>
  <si>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</si>
  <si>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</si>
  <si>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</si>
  <si>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</si>
  <si>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</si>
  <si>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</si>
  <si>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</si>
  <si>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</si>
  <si>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</si>
  <si>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</si>
  <si>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</si>
  <si>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</si>
  <si>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</si>
  <si>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</si>
  <si>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</si>
  <si>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</si>
  <si>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</si>
  <si>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</si>
  <si>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</si>
  <si>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</si>
  <si>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</si>
  <si>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</si>
  <si>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</si>
  <si>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</si>
  <si>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</si>
  <si>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</si>
  <si>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</si>
  <si>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</si>
  <si>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</si>
  <si>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</si>
  <si>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</si>
  <si>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</si>
  <si>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</si>
  <si>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</si>
  <si>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</si>
  <si>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</si>
  <si>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</si>
  <si>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</si>
  <si>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</si>
  <si>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</si>
  <si>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</si>
  <si>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</si>
  <si>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</si>
  <si>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</si>
  <si>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</si>
  <si>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</si>
  <si>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</si>
  <si>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</si>
  <si>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</si>
  <si>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</si>
  <si>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</si>
  <si>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</si>
  <si>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</si>
  <si>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</si>
  <si>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</si>
  <si>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</si>
  <si>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</si>
  <si>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</si>
  <si>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</si>
  <si>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Основное мероприятие  "Организация предоставления
дополнительного образования художественно-
эстетической направленности" (решается в рамках задачи 1.3)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</si>
  <si>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</si>
  <si>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</si>
  <si>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</si>
  <si>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0310100590, 03101S0650,                 03101S0660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</si>
  <si>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</si>
  <si>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</si>
  <si>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</si>
  <si>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</si>
  <si>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</si>
  <si>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</si>
  <si>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</si>
  <si>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</si>
  <si>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</si>
  <si>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0310200590, 03102S0400, 0310240530, 03102S0670   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</si>
  <si>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</si>
  <si>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</si>
  <si>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</si>
  <si>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</si>
  <si>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</si>
  <si>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 xml:space="preserve">Приложение 3 к постановлению
администрации Города Томска от    №
</t>
  </si>
  <si>
    <t>администрации Города Томска от 29.12.2017 № 1341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</si>
</sst>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166" fontId="4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4" fillId="24" borderId="11" xfId="0" applyNumberFormat="1" applyFont="1" applyFill="1" applyBorder="1" applyAlignment="1">
      <alignment horizontal="center" vertical="center" wrapText="1"/>
    </xf>
    <xf numFmtId="166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left" vertical="center" wrapText="1"/>
    </xf>
    <xf numFmtId="166" fontId="7" fillId="24" borderId="11" xfId="0" applyNumberFormat="1" applyFont="1" applyFill="1" applyBorder="1" applyAlignment="1">
      <alignment horizontal="center" vertical="center" wrapText="1"/>
    </xf>
    <xf numFmtId="166" fontId="0" fillId="24" borderId="0" xfId="0" applyNumberForma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4" fillId="24" borderId="15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textRotation="90"/>
    </xf>
    <xf numFmtId="0" fontId="2" fillId="24" borderId="13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center" vertical="center" textRotation="90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1"/>
  <sheetViews>
    <sheetView tabSelected="1" zoomScale="90" zoomScaleNormal="90" zoomScalePageLayoutView="0" workbookViewId="0" topLeftCell="A1">
      <selection activeCell="AA6" sqref="AA6"/>
    </sheetView>
  </sheetViews>
  <sheetFormatPr defaultColWidth="9.00390625" defaultRowHeight="15.75"/>
  <cols>
    <col min="1" max="1" width="3.875" style="4" customWidth="1"/>
    <col min="2" max="2" width="21.00390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9.75390625" style="8" customWidth="1"/>
    <col min="16" max="16" width="10.875" style="4" hidden="1" customWidth="1"/>
    <col min="17" max="17" width="8.125" style="4" hidden="1" customWidth="1"/>
    <col min="18" max="18" width="14.125" style="4" hidden="1" customWidth="1"/>
    <col min="19" max="19" width="8.75390625" style="4" hidden="1" customWidth="1"/>
    <col min="20" max="20" width="10.875" style="4" hidden="1" customWidth="1"/>
    <col min="21" max="21" width="10.125" style="4" hidden="1" customWidth="1"/>
    <col min="22" max="22" width="9.75390625" style="4" hidden="1" customWidth="1"/>
    <col min="23" max="23" width="10.125" style="4" hidden="1" customWidth="1"/>
    <col min="24" max="24" width="7.25390625" style="4" hidden="1" customWidth="1"/>
    <col min="25" max="25" width="8.00390625" style="4" hidden="1" customWidth="1"/>
    <col min="26" max="26" width="8.125" style="4" hidden="1" customWidth="1"/>
    <col min="27" max="16384" width="9.00390625" style="4" customWidth="1"/>
  </cols>
  <sheetData>
    <row r="1" spans="1:15" ht="15.75">
      <c r="A1" s="65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2"/>
      <c r="L3" s="67" t="s">
        <v>59</v>
      </c>
      <c r="M3" s="67"/>
      <c r="N3" s="67"/>
      <c r="O3" s="67"/>
    </row>
    <row r="4" spans="1:15" ht="15.75">
      <c r="A4" s="2"/>
      <c r="L4" s="67"/>
      <c r="M4" s="67"/>
      <c r="N4" s="67"/>
      <c r="O4" s="67"/>
    </row>
    <row r="5" spans="1:15" ht="15.75">
      <c r="A5" s="2"/>
      <c r="L5" s="67"/>
      <c r="M5" s="67"/>
      <c r="N5" s="67"/>
      <c r="O5" s="67"/>
    </row>
    <row r="6" spans="1:15" ht="42.75" customHeight="1">
      <c r="A6" s="2"/>
      <c r="L6" s="67"/>
      <c r="M6" s="67"/>
      <c r="N6" s="67"/>
      <c r="O6" s="67"/>
    </row>
    <row r="7" ht="15.75">
      <c r="A7" s="20"/>
    </row>
    <row r="8" spans="1:15" ht="15.7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ht="15.75">
      <c r="A9" s="20"/>
    </row>
    <row r="10" ht="15.75" hidden="1">
      <c r="A10" s="20"/>
    </row>
    <row r="11" ht="15.75">
      <c r="A11" s="20"/>
    </row>
    <row r="12" spans="1:15" ht="15.75">
      <c r="A12" s="110" t="s">
        <v>0</v>
      </c>
      <c r="B12" s="87" t="s">
        <v>73</v>
      </c>
      <c r="C12" s="87" t="s">
        <v>62</v>
      </c>
      <c r="D12" s="110" t="s">
        <v>1</v>
      </c>
      <c r="E12" s="100" t="s">
        <v>34</v>
      </c>
      <c r="F12" s="100"/>
      <c r="G12" s="110" t="s">
        <v>2</v>
      </c>
      <c r="H12" s="110"/>
      <c r="I12" s="110"/>
      <c r="J12" s="110"/>
      <c r="K12" s="110"/>
      <c r="L12" s="110"/>
      <c r="M12" s="110"/>
      <c r="N12" s="110"/>
      <c r="O12" s="110" t="s">
        <v>3</v>
      </c>
    </row>
    <row r="13" spans="1:16" ht="43.5" customHeight="1">
      <c r="A13" s="110"/>
      <c r="B13" s="88"/>
      <c r="C13" s="88"/>
      <c r="D13" s="110"/>
      <c r="E13" s="100"/>
      <c r="F13" s="100"/>
      <c r="G13" s="110" t="s">
        <v>4</v>
      </c>
      <c r="H13" s="110"/>
      <c r="I13" s="110" t="s">
        <v>5</v>
      </c>
      <c r="J13" s="110"/>
      <c r="K13" s="110" t="s">
        <v>6</v>
      </c>
      <c r="L13" s="110"/>
      <c r="M13" s="110" t="s">
        <v>7</v>
      </c>
      <c r="N13" s="110"/>
      <c r="O13" s="110"/>
      <c r="P13" s="9"/>
    </row>
    <row r="14" spans="1:16" ht="91.5" customHeight="1">
      <c r="A14" s="110"/>
      <c r="B14" s="89"/>
      <c r="C14" s="89"/>
      <c r="D14" s="110"/>
      <c r="E14" s="18" t="s">
        <v>8</v>
      </c>
      <c r="F14" s="18" t="s">
        <v>9</v>
      </c>
      <c r="G14" s="18" t="s">
        <v>8</v>
      </c>
      <c r="H14" s="18" t="s">
        <v>9</v>
      </c>
      <c r="I14" s="18" t="s">
        <v>8</v>
      </c>
      <c r="J14" s="18" t="s">
        <v>9</v>
      </c>
      <c r="K14" s="18" t="s">
        <v>8</v>
      </c>
      <c r="L14" s="18" t="s">
        <v>9</v>
      </c>
      <c r="M14" s="18" t="s">
        <v>8</v>
      </c>
      <c r="N14" s="18" t="s">
        <v>80</v>
      </c>
      <c r="O14" s="18"/>
      <c r="P14" s="9"/>
    </row>
    <row r="15" spans="1:16" s="2" customFormat="1" ht="4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0"/>
    </row>
    <row r="16" spans="1:16" s="6" customFormat="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1"/>
    </row>
    <row r="17" spans="1:16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9"/>
    </row>
    <row r="18" spans="1:16" ht="16.5" customHeight="1" hidden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9"/>
    </row>
    <row r="19" spans="1:16" ht="16.5" customHeight="1">
      <c r="A19" s="29"/>
      <c r="B19" s="103" t="s">
        <v>74</v>
      </c>
      <c r="C19" s="7"/>
      <c r="D19" s="19" t="s">
        <v>11</v>
      </c>
      <c r="E19" s="44">
        <f aca="true" t="shared" si="0" ref="E19:N19">SUM(E20:E25)</f>
        <v>1514949.6500000001</v>
      </c>
      <c r="F19" s="44">
        <f t="shared" si="0"/>
        <v>962696.94</v>
      </c>
      <c r="G19" s="44">
        <f t="shared" si="0"/>
        <v>983179.25</v>
      </c>
      <c r="H19" s="44">
        <f t="shared" si="0"/>
        <v>670697.64</v>
      </c>
      <c r="I19" s="44">
        <f t="shared" si="0"/>
        <v>2157.8</v>
      </c>
      <c r="J19" s="44">
        <f t="shared" si="0"/>
        <v>0</v>
      </c>
      <c r="K19" s="44">
        <f t="shared" si="0"/>
        <v>373834.5999999999</v>
      </c>
      <c r="L19" s="44">
        <f t="shared" si="0"/>
        <v>152526.3</v>
      </c>
      <c r="M19" s="44">
        <f t="shared" si="0"/>
        <v>155778</v>
      </c>
      <c r="N19" s="44">
        <f t="shared" si="0"/>
        <v>139473</v>
      </c>
      <c r="O19" s="111" t="s">
        <v>39</v>
      </c>
      <c r="P19" s="9"/>
    </row>
    <row r="20" spans="1:16" s="13" customFormat="1" ht="15.75" customHeight="1">
      <c r="A20" s="30"/>
      <c r="B20" s="98"/>
      <c r="D20" s="19" t="s">
        <v>12</v>
      </c>
      <c r="E20" s="44">
        <f aca="true" t="shared" si="1" ref="E20:F25">G20+I20+K20+M20</f>
        <v>243155.5</v>
      </c>
      <c r="F20" s="44">
        <f t="shared" si="1"/>
        <v>207312.2</v>
      </c>
      <c r="G20" s="44">
        <f aca="true" t="shared" si="2" ref="G20:N25">G34+G76+G167</f>
        <v>170316.8</v>
      </c>
      <c r="H20" s="44">
        <f t="shared" si="2"/>
        <v>138477.5</v>
      </c>
      <c r="I20" s="44">
        <f t="shared" si="2"/>
        <v>725</v>
      </c>
      <c r="J20" s="44">
        <f t="shared" si="2"/>
        <v>0</v>
      </c>
      <c r="K20" s="44">
        <f t="shared" si="2"/>
        <v>42070</v>
      </c>
      <c r="L20" s="44">
        <f t="shared" si="2"/>
        <v>38791</v>
      </c>
      <c r="M20" s="44">
        <f t="shared" si="2"/>
        <v>30043.699999999997</v>
      </c>
      <c r="N20" s="44">
        <f t="shared" si="2"/>
        <v>30043.699999999997</v>
      </c>
      <c r="O20" s="112"/>
      <c r="P20" s="12"/>
    </row>
    <row r="21" spans="1:16" s="13" customFormat="1" ht="15.75" customHeight="1">
      <c r="A21" s="30"/>
      <c r="B21" s="98"/>
      <c r="C21" s="100" t="s">
        <v>69</v>
      </c>
      <c r="D21" s="19" t="s">
        <v>13</v>
      </c>
      <c r="E21" s="44">
        <f t="shared" si="1"/>
        <v>234210.14999999997</v>
      </c>
      <c r="F21" s="44">
        <f t="shared" si="1"/>
        <v>219554.24</v>
      </c>
      <c r="G21" s="44">
        <f t="shared" si="2"/>
        <v>156692.44999999998</v>
      </c>
      <c r="H21" s="44">
        <f>H35+H77+H168</f>
        <v>146006.53999999998</v>
      </c>
      <c r="I21" s="44">
        <f t="shared" si="2"/>
        <v>797.5</v>
      </c>
      <c r="J21" s="44">
        <f t="shared" si="2"/>
        <v>0</v>
      </c>
      <c r="K21" s="44">
        <f t="shared" si="2"/>
        <v>40827.4</v>
      </c>
      <c r="L21" s="44">
        <f t="shared" si="2"/>
        <v>37654.9</v>
      </c>
      <c r="M21" s="44">
        <f t="shared" si="2"/>
        <v>35892.8</v>
      </c>
      <c r="N21" s="44">
        <f t="shared" si="2"/>
        <v>35892.8</v>
      </c>
      <c r="O21" s="112"/>
      <c r="P21" s="3"/>
    </row>
    <row r="22" spans="1:26" s="13" customFormat="1" ht="15" customHeight="1">
      <c r="A22" s="30"/>
      <c r="B22" s="98"/>
      <c r="C22" s="100"/>
      <c r="D22" s="19" t="s">
        <v>14</v>
      </c>
      <c r="E22" s="44">
        <f t="shared" si="1"/>
        <v>278338.6</v>
      </c>
      <c r="F22" s="44">
        <f t="shared" si="1"/>
        <v>270093.19999999995</v>
      </c>
      <c r="G22" s="44">
        <f t="shared" si="2"/>
        <v>164042.5</v>
      </c>
      <c r="H22" s="44">
        <f t="shared" si="2"/>
        <v>157321.8</v>
      </c>
      <c r="I22" s="44">
        <f t="shared" si="2"/>
        <v>635.3</v>
      </c>
      <c r="J22" s="44">
        <f t="shared" si="2"/>
        <v>0</v>
      </c>
      <c r="K22" s="44">
        <f t="shared" si="2"/>
        <v>72734.29999999999</v>
      </c>
      <c r="L22" s="44">
        <f t="shared" si="2"/>
        <v>71844.9</v>
      </c>
      <c r="M22" s="44">
        <f t="shared" si="2"/>
        <v>40926.5</v>
      </c>
      <c r="N22" s="44">
        <f t="shared" si="2"/>
        <v>40926.5</v>
      </c>
      <c r="O22" s="112"/>
      <c r="P22" s="3"/>
      <c r="R22" s="36"/>
      <c r="S22" s="36"/>
      <c r="W22" s="39">
        <v>157166.8</v>
      </c>
      <c r="X22" s="39">
        <f>W22-H22</f>
        <v>-155</v>
      </c>
      <c r="Y22" s="13">
        <v>73187.7</v>
      </c>
      <c r="Z22" s="39">
        <f>Y22-L22</f>
        <v>1342.800000000003</v>
      </c>
    </row>
    <row r="23" spans="1:22" s="13" customFormat="1" ht="15.75">
      <c r="A23" s="30"/>
      <c r="B23" s="98"/>
      <c r="C23" s="100"/>
      <c r="D23" s="19" t="s">
        <v>15</v>
      </c>
      <c r="E23" s="44">
        <f t="shared" si="1"/>
        <v>253081.8</v>
      </c>
      <c r="F23" s="44">
        <f t="shared" si="1"/>
        <v>132885.09999999998</v>
      </c>
      <c r="G23" s="44">
        <f t="shared" si="2"/>
        <v>164042.5</v>
      </c>
      <c r="H23" s="44">
        <f t="shared" si="2"/>
        <v>114445.9</v>
      </c>
      <c r="I23" s="44">
        <f t="shared" si="2"/>
        <v>0</v>
      </c>
      <c r="J23" s="44">
        <f t="shared" si="2"/>
        <v>0</v>
      </c>
      <c r="K23" s="44">
        <f t="shared" si="2"/>
        <v>72734.29999999999</v>
      </c>
      <c r="L23" s="44">
        <f t="shared" si="2"/>
        <v>2134.2</v>
      </c>
      <c r="M23" s="44">
        <f t="shared" si="2"/>
        <v>16305</v>
      </c>
      <c r="N23" s="44">
        <f t="shared" si="2"/>
        <v>16305</v>
      </c>
      <c r="O23" s="112"/>
      <c r="P23" s="3"/>
      <c r="R23" s="39">
        <v>157166.8</v>
      </c>
      <c r="S23" s="39">
        <f>R23-H22</f>
        <v>-155</v>
      </c>
      <c r="U23" s="39"/>
      <c r="V23" s="39"/>
    </row>
    <row r="24" spans="1:22" s="13" customFormat="1" ht="15.75">
      <c r="A24" s="30"/>
      <c r="B24" s="98"/>
      <c r="C24" s="100"/>
      <c r="D24" s="19" t="s">
        <v>16</v>
      </c>
      <c r="E24" s="44">
        <f t="shared" si="1"/>
        <v>253081.8</v>
      </c>
      <c r="F24" s="44">
        <f t="shared" si="1"/>
        <v>132852.2</v>
      </c>
      <c r="G24" s="44">
        <f t="shared" si="2"/>
        <v>164042.5</v>
      </c>
      <c r="H24" s="44">
        <f t="shared" si="2"/>
        <v>114445.9</v>
      </c>
      <c r="I24" s="44">
        <f t="shared" si="2"/>
        <v>0</v>
      </c>
      <c r="J24" s="44">
        <f t="shared" si="2"/>
        <v>0</v>
      </c>
      <c r="K24" s="44">
        <f t="shared" si="2"/>
        <v>72734.29999999999</v>
      </c>
      <c r="L24" s="44">
        <f t="shared" si="2"/>
        <v>2101.2999999999997</v>
      </c>
      <c r="M24" s="44">
        <f t="shared" si="2"/>
        <v>16305</v>
      </c>
      <c r="N24" s="44">
        <f t="shared" si="2"/>
        <v>16305</v>
      </c>
      <c r="O24" s="112"/>
      <c r="P24" s="3"/>
      <c r="R24" s="39" t="s">
        <v>75</v>
      </c>
      <c r="S24" s="39">
        <f>H64+H99+H246</f>
        <v>574.1</v>
      </c>
      <c r="U24" s="39"/>
      <c r="V24" s="39"/>
    </row>
    <row r="25" spans="1:19" s="13" customFormat="1" ht="15.75">
      <c r="A25" s="31"/>
      <c r="B25" s="99"/>
      <c r="C25" s="100"/>
      <c r="D25" s="19" t="s">
        <v>17</v>
      </c>
      <c r="E25" s="44">
        <f t="shared" si="1"/>
        <v>253081.8</v>
      </c>
      <c r="F25" s="44">
        <f t="shared" si="1"/>
        <v>0</v>
      </c>
      <c r="G25" s="44">
        <f t="shared" si="2"/>
        <v>164042.5</v>
      </c>
      <c r="H25" s="44">
        <f t="shared" si="2"/>
        <v>0</v>
      </c>
      <c r="I25" s="44">
        <f t="shared" si="2"/>
        <v>0</v>
      </c>
      <c r="J25" s="44">
        <f t="shared" si="2"/>
        <v>0</v>
      </c>
      <c r="K25" s="44">
        <f t="shared" si="2"/>
        <v>72734.29999999999</v>
      </c>
      <c r="L25" s="44">
        <f t="shared" si="2"/>
        <v>0</v>
      </c>
      <c r="M25" s="44">
        <f t="shared" si="2"/>
        <v>16305</v>
      </c>
      <c r="N25" s="44">
        <f t="shared" si="2"/>
        <v>0</v>
      </c>
      <c r="O25" s="112"/>
      <c r="P25" s="3"/>
      <c r="R25" s="39"/>
      <c r="S25" s="39"/>
    </row>
    <row r="26" spans="1:19" s="13" customFormat="1" ht="18.75" customHeight="1">
      <c r="A26" s="29"/>
      <c r="B26" s="103" t="s">
        <v>81</v>
      </c>
      <c r="C26" s="7"/>
      <c r="D26" s="19" t="s">
        <v>11</v>
      </c>
      <c r="E26" s="44">
        <f aca="true" t="shared" si="3" ref="E26:N26">SUM(E27:E32)</f>
        <v>1166338.44</v>
      </c>
      <c r="F26" s="44">
        <f t="shared" si="3"/>
        <v>846349.7999999999</v>
      </c>
      <c r="G26" s="44">
        <f t="shared" si="3"/>
        <v>740308.64</v>
      </c>
      <c r="H26" s="44">
        <f t="shared" si="3"/>
        <v>531743.5</v>
      </c>
      <c r="I26" s="44">
        <f t="shared" si="3"/>
        <v>7500</v>
      </c>
      <c r="J26" s="44">
        <f t="shared" si="3"/>
        <v>0</v>
      </c>
      <c r="K26" s="44">
        <f t="shared" si="3"/>
        <v>207378.99999999997</v>
      </c>
      <c r="L26" s="44">
        <f t="shared" si="3"/>
        <v>135959.80000000002</v>
      </c>
      <c r="M26" s="44">
        <f t="shared" si="3"/>
        <v>211150.79999999996</v>
      </c>
      <c r="N26" s="44">
        <f t="shared" si="3"/>
        <v>178646.49999999997</v>
      </c>
      <c r="O26" s="112"/>
      <c r="P26" s="3"/>
      <c r="R26" s="39"/>
      <c r="S26" s="39"/>
    </row>
    <row r="27" spans="1:16" s="13" customFormat="1" ht="21.75" customHeight="1">
      <c r="A27" s="30"/>
      <c r="B27" s="98"/>
      <c r="D27" s="19" t="s">
        <v>12</v>
      </c>
      <c r="E27" s="44">
        <f aca="true" t="shared" si="4" ref="E27:E32">G27+I27+K27+M27</f>
        <v>180341.6</v>
      </c>
      <c r="F27" s="44">
        <f aca="true" t="shared" si="5" ref="F27:F32">H27+J27+L27+N27</f>
        <v>162018.30000000002</v>
      </c>
      <c r="G27" s="44">
        <f>G104</f>
        <v>116756.20000000001</v>
      </c>
      <c r="H27" s="44">
        <f aca="true" t="shared" si="6" ref="H27:N27">H104</f>
        <v>104347.90000000001</v>
      </c>
      <c r="I27" s="44">
        <f t="shared" si="6"/>
        <v>2500</v>
      </c>
      <c r="J27" s="44">
        <f t="shared" si="6"/>
        <v>0</v>
      </c>
      <c r="K27" s="44">
        <f t="shared" si="6"/>
        <v>27766.9</v>
      </c>
      <c r="L27" s="44">
        <f t="shared" si="6"/>
        <v>24351.9</v>
      </c>
      <c r="M27" s="44">
        <f t="shared" si="6"/>
        <v>33318.5</v>
      </c>
      <c r="N27" s="44">
        <f t="shared" si="6"/>
        <v>33318.5</v>
      </c>
      <c r="O27" s="112"/>
      <c r="P27" s="12"/>
    </row>
    <row r="28" spans="1:16" s="13" customFormat="1" ht="18.75" customHeight="1">
      <c r="A28" s="30"/>
      <c r="B28" s="98"/>
      <c r="C28" s="100" t="s">
        <v>68</v>
      </c>
      <c r="D28" s="19" t="s">
        <v>13</v>
      </c>
      <c r="E28" s="44">
        <f t="shared" si="4"/>
        <v>181324.74</v>
      </c>
      <c r="F28" s="44">
        <f t="shared" si="5"/>
        <v>173599.8</v>
      </c>
      <c r="G28" s="44">
        <f aca="true" t="shared" si="7" ref="G28:N28">G105</f>
        <v>111578.54000000001</v>
      </c>
      <c r="H28" s="44">
        <f t="shared" si="7"/>
        <v>109904.6</v>
      </c>
      <c r="I28" s="44">
        <f t="shared" si="7"/>
        <v>2500</v>
      </c>
      <c r="J28" s="44">
        <f t="shared" si="7"/>
        <v>0</v>
      </c>
      <c r="K28" s="44">
        <f t="shared" si="7"/>
        <v>28121.9</v>
      </c>
      <c r="L28" s="44">
        <f t="shared" si="7"/>
        <v>24570.9</v>
      </c>
      <c r="M28" s="44">
        <f t="shared" si="7"/>
        <v>39124.3</v>
      </c>
      <c r="N28" s="44">
        <f t="shared" si="7"/>
        <v>39124.3</v>
      </c>
      <c r="O28" s="112"/>
      <c r="P28" s="3"/>
    </row>
    <row r="29" spans="1:16" s="13" customFormat="1" ht="18.75" customHeight="1">
      <c r="A29" s="30"/>
      <c r="B29" s="98"/>
      <c r="C29" s="100"/>
      <c r="D29" s="19" t="s">
        <v>14</v>
      </c>
      <c r="E29" s="44">
        <f t="shared" si="4"/>
        <v>197720.5</v>
      </c>
      <c r="F29" s="44">
        <f t="shared" si="5"/>
        <v>188559.5</v>
      </c>
      <c r="G29" s="44">
        <f aca="true" t="shared" si="8" ref="G29:N29">G106</f>
        <v>113801.6</v>
      </c>
      <c r="H29" s="44">
        <f t="shared" si="8"/>
        <v>110275.6</v>
      </c>
      <c r="I29" s="44">
        <f t="shared" si="8"/>
        <v>2500</v>
      </c>
      <c r="J29" s="44">
        <f t="shared" si="8"/>
        <v>0</v>
      </c>
      <c r="K29" s="44">
        <f t="shared" si="8"/>
        <v>40223.799999999996</v>
      </c>
      <c r="L29" s="44">
        <f t="shared" si="8"/>
        <v>37088.799999999996</v>
      </c>
      <c r="M29" s="44">
        <f t="shared" si="8"/>
        <v>41195.1</v>
      </c>
      <c r="N29" s="44">
        <f t="shared" si="8"/>
        <v>41195.1</v>
      </c>
      <c r="O29" s="112"/>
      <c r="P29" s="3"/>
    </row>
    <row r="30" spans="1:16" s="13" customFormat="1" ht="18.75" customHeight="1">
      <c r="A30" s="30"/>
      <c r="B30" s="98"/>
      <c r="C30" s="100"/>
      <c r="D30" s="19" t="s">
        <v>15</v>
      </c>
      <c r="E30" s="44">
        <f t="shared" si="4"/>
        <v>202317.19999999995</v>
      </c>
      <c r="F30" s="44">
        <f t="shared" si="5"/>
        <v>161086.09999999998</v>
      </c>
      <c r="G30" s="44">
        <f aca="true" t="shared" si="9" ref="G30:N30">G107</f>
        <v>132724.09999999998</v>
      </c>
      <c r="H30" s="44">
        <f t="shared" si="9"/>
        <v>103607.7</v>
      </c>
      <c r="I30" s="44">
        <f t="shared" si="9"/>
        <v>0</v>
      </c>
      <c r="J30" s="44">
        <f t="shared" si="9"/>
        <v>0</v>
      </c>
      <c r="K30" s="44">
        <f t="shared" si="9"/>
        <v>37088.799999999996</v>
      </c>
      <c r="L30" s="44">
        <f t="shared" si="9"/>
        <v>24974.1</v>
      </c>
      <c r="M30" s="44">
        <f t="shared" si="9"/>
        <v>32504.3</v>
      </c>
      <c r="N30" s="44">
        <f t="shared" si="9"/>
        <v>32504.3</v>
      </c>
      <c r="O30" s="112"/>
      <c r="P30" s="3"/>
    </row>
    <row r="31" spans="1:16" s="13" customFormat="1" ht="18.75" customHeight="1">
      <c r="A31" s="30"/>
      <c r="B31" s="98"/>
      <c r="C31" s="100"/>
      <c r="D31" s="19" t="s">
        <v>16</v>
      </c>
      <c r="E31" s="44">
        <f t="shared" si="4"/>
        <v>202317.19999999995</v>
      </c>
      <c r="F31" s="44">
        <f t="shared" si="5"/>
        <v>161086.09999999998</v>
      </c>
      <c r="G31" s="44">
        <f aca="true" t="shared" si="10" ref="G31:N31">G108</f>
        <v>132724.09999999998</v>
      </c>
      <c r="H31" s="44">
        <f t="shared" si="10"/>
        <v>103607.7</v>
      </c>
      <c r="I31" s="44">
        <f t="shared" si="10"/>
        <v>0</v>
      </c>
      <c r="J31" s="44">
        <f t="shared" si="10"/>
        <v>0</v>
      </c>
      <c r="K31" s="44">
        <f t="shared" si="10"/>
        <v>37088.799999999996</v>
      </c>
      <c r="L31" s="44">
        <f t="shared" si="10"/>
        <v>24974.1</v>
      </c>
      <c r="M31" s="44">
        <f t="shared" si="10"/>
        <v>32504.3</v>
      </c>
      <c r="N31" s="44">
        <f t="shared" si="10"/>
        <v>32504.3</v>
      </c>
      <c r="O31" s="112"/>
      <c r="P31" s="3"/>
    </row>
    <row r="32" spans="1:16" s="13" customFormat="1" ht="15.75">
      <c r="A32" s="31"/>
      <c r="B32" s="99"/>
      <c r="C32" s="100"/>
      <c r="D32" s="19" t="s">
        <v>17</v>
      </c>
      <c r="E32" s="44">
        <f t="shared" si="4"/>
        <v>202317.19999999995</v>
      </c>
      <c r="F32" s="44">
        <f t="shared" si="5"/>
        <v>0</v>
      </c>
      <c r="G32" s="44">
        <f aca="true" t="shared" si="11" ref="G32:N32">G109</f>
        <v>132724.09999999998</v>
      </c>
      <c r="H32" s="44">
        <f t="shared" si="11"/>
        <v>0</v>
      </c>
      <c r="I32" s="44">
        <f t="shared" si="11"/>
        <v>0</v>
      </c>
      <c r="J32" s="44">
        <f t="shared" si="11"/>
        <v>0</v>
      </c>
      <c r="K32" s="44">
        <f t="shared" si="11"/>
        <v>37088.799999999996</v>
      </c>
      <c r="L32" s="44">
        <f t="shared" si="11"/>
        <v>0</v>
      </c>
      <c r="M32" s="44">
        <f t="shared" si="11"/>
        <v>32504.3</v>
      </c>
      <c r="N32" s="44">
        <f t="shared" si="11"/>
        <v>0</v>
      </c>
      <c r="O32" s="113"/>
      <c r="P32" s="3"/>
    </row>
    <row r="33" spans="1:16" s="13" customFormat="1" ht="15" customHeight="1">
      <c r="A33" s="87" t="s">
        <v>27</v>
      </c>
      <c r="B33" s="21" t="s">
        <v>49</v>
      </c>
      <c r="D33" s="19" t="s">
        <v>11</v>
      </c>
      <c r="E33" s="44">
        <f aca="true" t="shared" si="12" ref="E33:N33">SUM(E34:E39)</f>
        <v>592127.652</v>
      </c>
      <c r="F33" s="44">
        <f t="shared" si="12"/>
        <v>361894.64300000004</v>
      </c>
      <c r="G33" s="44">
        <f t="shared" si="12"/>
        <v>387293.57999999996</v>
      </c>
      <c r="H33" s="44">
        <f t="shared" si="12"/>
        <v>279334.9</v>
      </c>
      <c r="I33" s="44">
        <f t="shared" si="12"/>
        <v>1737.8</v>
      </c>
      <c r="J33" s="44">
        <f t="shared" si="12"/>
        <v>0</v>
      </c>
      <c r="K33" s="44">
        <f t="shared" si="12"/>
        <v>195654.972</v>
      </c>
      <c r="L33" s="44">
        <f t="shared" si="12"/>
        <v>76133.443</v>
      </c>
      <c r="M33" s="44">
        <f t="shared" si="12"/>
        <v>7441.299999999999</v>
      </c>
      <c r="N33" s="44">
        <f t="shared" si="12"/>
        <v>6426.299999999999</v>
      </c>
      <c r="O33" s="75" t="s">
        <v>39</v>
      </c>
      <c r="P33" s="3"/>
    </row>
    <row r="34" spans="1:16" s="13" customFormat="1" ht="42.75" customHeight="1">
      <c r="A34" s="88"/>
      <c r="B34" s="105" t="s">
        <v>10</v>
      </c>
      <c r="C34" s="19" t="s">
        <v>83</v>
      </c>
      <c r="D34" s="19" t="s">
        <v>12</v>
      </c>
      <c r="E34" s="44">
        <f>G34+I34+K34+M34</f>
        <v>94910.1</v>
      </c>
      <c r="F34" s="44">
        <f aca="true" t="shared" si="13" ref="E34:F39">H34+J34+L34+N34</f>
        <v>73906</v>
      </c>
      <c r="G34" s="44">
        <f>G41+G48+G62+G69</f>
        <v>71330.3</v>
      </c>
      <c r="H34" s="44">
        <f>H41+H48+H62+H69</f>
        <v>53230.2</v>
      </c>
      <c r="I34" s="44">
        <f>I41+I48+I62</f>
        <v>525</v>
      </c>
      <c r="J34" s="44">
        <f>J41+J48+J62</f>
        <v>0</v>
      </c>
      <c r="K34" s="44">
        <f>K41+K48+K62</f>
        <v>21964.3</v>
      </c>
      <c r="L34" s="44">
        <f>L41+L48+L62</f>
        <v>19585.3</v>
      </c>
      <c r="M34" s="44">
        <f aca="true" t="shared" si="14" ref="M34:N39">M41+M48+M62</f>
        <v>1090.5</v>
      </c>
      <c r="N34" s="44">
        <f t="shared" si="14"/>
        <v>1090.5</v>
      </c>
      <c r="O34" s="76"/>
      <c r="P34" s="12"/>
    </row>
    <row r="35" spans="1:16" s="13" customFormat="1" ht="42" customHeight="1">
      <c r="A35" s="88"/>
      <c r="B35" s="105"/>
      <c r="C35" s="103" t="s">
        <v>82</v>
      </c>
      <c r="D35" s="19" t="s">
        <v>13</v>
      </c>
      <c r="E35" s="44">
        <f t="shared" si="13"/>
        <v>85717.78</v>
      </c>
      <c r="F35" s="44">
        <f t="shared" si="13"/>
        <v>78152.7</v>
      </c>
      <c r="G35" s="44">
        <f>G42+G49+G63+G70</f>
        <v>61778.08</v>
      </c>
      <c r="H35" s="44">
        <f>H42+H63+H70</f>
        <v>56943</v>
      </c>
      <c r="I35" s="44">
        <f aca="true" t="shared" si="15" ref="I35:J39">I42+I49+I63</f>
        <v>577.5</v>
      </c>
      <c r="J35" s="44">
        <f t="shared" si="15"/>
        <v>0</v>
      </c>
      <c r="K35" s="44">
        <f aca="true" t="shared" si="16" ref="K35:L39">K42+K49+K63</f>
        <v>21556.5</v>
      </c>
      <c r="L35" s="44">
        <f t="shared" si="16"/>
        <v>19404</v>
      </c>
      <c r="M35" s="44">
        <f t="shared" si="14"/>
        <v>1805.7</v>
      </c>
      <c r="N35" s="44">
        <f t="shared" si="14"/>
        <v>1805.7</v>
      </c>
      <c r="O35" s="76"/>
      <c r="P35" s="3"/>
    </row>
    <row r="36" spans="1:16" s="13" customFormat="1" ht="26.25" customHeight="1">
      <c r="A36" s="88"/>
      <c r="B36" s="105"/>
      <c r="C36" s="98"/>
      <c r="D36" s="19" t="s">
        <v>14</v>
      </c>
      <c r="E36" s="44">
        <f t="shared" si="13"/>
        <v>103715.24300000002</v>
      </c>
      <c r="F36" s="44">
        <f t="shared" si="13"/>
        <v>97697.14300000001</v>
      </c>
      <c r="G36" s="44">
        <f aca="true" t="shared" si="17" ref="G36:H39">G43+G50+G64+G71</f>
        <v>63546.3</v>
      </c>
      <c r="H36" s="44">
        <f>H43+H50+H64+H71</f>
        <v>59052.9</v>
      </c>
      <c r="I36" s="44">
        <f t="shared" si="15"/>
        <v>635.3</v>
      </c>
      <c r="J36" s="44">
        <f t="shared" si="15"/>
        <v>0</v>
      </c>
      <c r="K36" s="44">
        <f t="shared" si="16"/>
        <v>38033.543</v>
      </c>
      <c r="L36" s="44">
        <f t="shared" si="16"/>
        <v>37144.143</v>
      </c>
      <c r="M36" s="44">
        <f t="shared" si="14"/>
        <v>1500.1</v>
      </c>
      <c r="N36" s="44">
        <f t="shared" si="14"/>
        <v>1500.1</v>
      </c>
      <c r="O36" s="76"/>
      <c r="P36" s="3"/>
    </row>
    <row r="37" spans="1:17" s="13" customFormat="1" ht="15.75">
      <c r="A37" s="88"/>
      <c r="B37" s="105"/>
      <c r="C37" s="98"/>
      <c r="D37" s="19" t="s">
        <v>15</v>
      </c>
      <c r="E37" s="44">
        <f t="shared" si="13"/>
        <v>102594.843</v>
      </c>
      <c r="F37" s="44">
        <f t="shared" si="13"/>
        <v>56069.4</v>
      </c>
      <c r="G37" s="44">
        <f t="shared" si="17"/>
        <v>63546.3</v>
      </c>
      <c r="H37" s="44">
        <f t="shared" si="17"/>
        <v>55054.4</v>
      </c>
      <c r="I37" s="44">
        <f t="shared" si="15"/>
        <v>0</v>
      </c>
      <c r="J37" s="44">
        <f t="shared" si="15"/>
        <v>0</v>
      </c>
      <c r="K37" s="44">
        <f t="shared" si="16"/>
        <v>38033.543</v>
      </c>
      <c r="L37" s="44">
        <f t="shared" si="16"/>
        <v>0</v>
      </c>
      <c r="M37" s="44">
        <f t="shared" si="14"/>
        <v>1015</v>
      </c>
      <c r="N37" s="44">
        <f t="shared" si="14"/>
        <v>1015</v>
      </c>
      <c r="O37" s="76"/>
      <c r="P37" s="3"/>
      <c r="Q37" s="45">
        <f>H36-155</f>
        <v>58897.9</v>
      </c>
    </row>
    <row r="38" spans="1:16" s="13" customFormat="1" ht="15.75">
      <c r="A38" s="88"/>
      <c r="B38" s="105"/>
      <c r="C38" s="98"/>
      <c r="D38" s="19" t="s">
        <v>16</v>
      </c>
      <c r="E38" s="44">
        <f t="shared" si="13"/>
        <v>102594.843</v>
      </c>
      <c r="F38" s="44">
        <f t="shared" si="13"/>
        <v>56069.4</v>
      </c>
      <c r="G38" s="44">
        <f t="shared" si="17"/>
        <v>63546.3</v>
      </c>
      <c r="H38" s="44">
        <f t="shared" si="17"/>
        <v>55054.4</v>
      </c>
      <c r="I38" s="44">
        <f t="shared" si="15"/>
        <v>0</v>
      </c>
      <c r="J38" s="44">
        <f t="shared" si="15"/>
        <v>0</v>
      </c>
      <c r="K38" s="44">
        <f t="shared" si="16"/>
        <v>38033.543</v>
      </c>
      <c r="L38" s="44">
        <f t="shared" si="16"/>
        <v>0</v>
      </c>
      <c r="M38" s="44">
        <f t="shared" si="14"/>
        <v>1015</v>
      </c>
      <c r="N38" s="44">
        <f t="shared" si="14"/>
        <v>1015</v>
      </c>
      <c r="O38" s="76"/>
      <c r="P38" s="3"/>
    </row>
    <row r="39" spans="1:16" s="13" customFormat="1" ht="15.75">
      <c r="A39" s="88"/>
      <c r="B39" s="105"/>
      <c r="C39" s="99"/>
      <c r="D39" s="19" t="s">
        <v>17</v>
      </c>
      <c r="E39" s="44">
        <f t="shared" si="13"/>
        <v>102594.843</v>
      </c>
      <c r="F39" s="44">
        <f t="shared" si="13"/>
        <v>0</v>
      </c>
      <c r="G39" s="44">
        <f t="shared" si="17"/>
        <v>63546.3</v>
      </c>
      <c r="H39" s="44">
        <f t="shared" si="17"/>
        <v>0</v>
      </c>
      <c r="I39" s="44">
        <f t="shared" si="15"/>
        <v>0</v>
      </c>
      <c r="J39" s="44">
        <f t="shared" si="15"/>
        <v>0</v>
      </c>
      <c r="K39" s="44">
        <f t="shared" si="16"/>
        <v>38033.543</v>
      </c>
      <c r="L39" s="44">
        <f t="shared" si="16"/>
        <v>0</v>
      </c>
      <c r="M39" s="44">
        <f t="shared" si="14"/>
        <v>1015</v>
      </c>
      <c r="N39" s="44">
        <f t="shared" si="14"/>
        <v>0</v>
      </c>
      <c r="O39" s="76"/>
      <c r="P39" s="3"/>
    </row>
    <row r="40" spans="1:16" s="13" customFormat="1" ht="15" customHeight="1">
      <c r="A40" s="88"/>
      <c r="B40" s="104" t="s">
        <v>24</v>
      </c>
      <c r="D40" s="18" t="s">
        <v>11</v>
      </c>
      <c r="E40" s="37">
        <f>SUM(E41:E46)</f>
        <v>584023.652</v>
      </c>
      <c r="F40" s="37">
        <f aca="true" t="shared" si="18" ref="F40:N40">SUM(F41:F46)</f>
        <v>360439.64300000004</v>
      </c>
      <c r="G40" s="38">
        <f t="shared" si="18"/>
        <v>380609.57999999996</v>
      </c>
      <c r="H40" s="38">
        <f t="shared" si="18"/>
        <v>278039.9</v>
      </c>
      <c r="I40" s="38">
        <f>SUM(I41:I46)</f>
        <v>1212.8</v>
      </c>
      <c r="J40" s="38">
        <f>SUM(J41:J46)</f>
        <v>0</v>
      </c>
      <c r="K40" s="38">
        <f>SUM(K41:K46)</f>
        <v>194919.972</v>
      </c>
      <c r="L40" s="38">
        <f t="shared" si="18"/>
        <v>76133.443</v>
      </c>
      <c r="M40" s="38">
        <f t="shared" si="18"/>
        <v>7281.299999999999</v>
      </c>
      <c r="N40" s="38">
        <f t="shared" si="18"/>
        <v>6266.299999999999</v>
      </c>
      <c r="O40" s="76"/>
      <c r="P40" s="3"/>
    </row>
    <row r="41" spans="1:16" s="14" customFormat="1" ht="53.25" customHeight="1">
      <c r="A41" s="88"/>
      <c r="B41" s="104"/>
      <c r="C41" s="18" t="s">
        <v>86</v>
      </c>
      <c r="D41" s="18" t="s">
        <v>12</v>
      </c>
      <c r="E41" s="37">
        <f>G41+I41+K41+M41</f>
        <v>91017.1</v>
      </c>
      <c r="F41" s="37">
        <f>H41+J41+L41+N41</f>
        <v>73591</v>
      </c>
      <c r="G41" s="38">
        <f>17212+H41-1400-29.9</f>
        <v>68857.3</v>
      </c>
      <c r="H41" s="38">
        <f>53075.1+0.1</f>
        <v>53075.2</v>
      </c>
      <c r="I41" s="38">
        <v>0</v>
      </c>
      <c r="J41" s="38">
        <v>0</v>
      </c>
      <c r="K41" s="38">
        <f>1644+L41</f>
        <v>21229.3</v>
      </c>
      <c r="L41" s="38">
        <v>19585.3</v>
      </c>
      <c r="M41" s="38">
        <v>930.5</v>
      </c>
      <c r="N41" s="38">
        <f>M41</f>
        <v>930.5</v>
      </c>
      <c r="O41" s="76"/>
      <c r="P41" s="3"/>
    </row>
    <row r="42" spans="1:16" ht="54.75" customHeight="1">
      <c r="A42" s="88"/>
      <c r="B42" s="104"/>
      <c r="C42" s="18" t="s">
        <v>84</v>
      </c>
      <c r="D42" s="18" t="s">
        <v>13</v>
      </c>
      <c r="E42" s="37">
        <f aca="true" t="shared" si="19" ref="E42:F46">G42+I42+K42+M42</f>
        <v>84342.78</v>
      </c>
      <c r="F42" s="37">
        <f t="shared" si="19"/>
        <v>77737.7</v>
      </c>
      <c r="G42" s="38">
        <f>H42+650.58+892.5+250+300+900+552+330</f>
        <v>60403.08</v>
      </c>
      <c r="H42" s="38">
        <f>57048.6-H63-0.1+371.7+11.8+12-656</f>
        <v>56528</v>
      </c>
      <c r="I42" s="38">
        <v>577.5</v>
      </c>
      <c r="J42" s="38">
        <v>0</v>
      </c>
      <c r="K42" s="38">
        <f>1344+L42+808.5</f>
        <v>21556.5</v>
      </c>
      <c r="L42" s="38">
        <f>26596.1-8847.3+1655.2</f>
        <v>19404</v>
      </c>
      <c r="M42" s="38">
        <v>1805.7</v>
      </c>
      <c r="N42" s="38">
        <f>M42</f>
        <v>1805.7</v>
      </c>
      <c r="O42" s="76"/>
      <c r="P42" s="3"/>
    </row>
    <row r="43" spans="1:16" ht="26.25" customHeight="1">
      <c r="A43" s="88"/>
      <c r="B43" s="104"/>
      <c r="C43" s="87" t="s">
        <v>85</v>
      </c>
      <c r="D43" s="35" t="s">
        <v>14</v>
      </c>
      <c r="E43" s="40">
        <f t="shared" si="19"/>
        <v>103006.24300000002</v>
      </c>
      <c r="F43" s="40">
        <f t="shared" si="19"/>
        <v>97282.14300000001</v>
      </c>
      <c r="G43" s="41">
        <f>H43+4199.4</f>
        <v>62837.3</v>
      </c>
      <c r="H43" s="41">
        <f>58855.9-H64+42</f>
        <v>58637.9</v>
      </c>
      <c r="I43" s="41">
        <v>635.3</v>
      </c>
      <c r="J43" s="41">
        <v>0</v>
      </c>
      <c r="K43" s="41">
        <f>L43+889.4</f>
        <v>38033.543</v>
      </c>
      <c r="L43" s="41">
        <f>38311.443-1167.3</f>
        <v>37144.143</v>
      </c>
      <c r="M43" s="41">
        <f>1500.1</f>
        <v>1500.1</v>
      </c>
      <c r="N43" s="41">
        <f>M43</f>
        <v>1500.1</v>
      </c>
      <c r="O43" s="76"/>
      <c r="P43" s="3"/>
    </row>
    <row r="44" spans="1:16" s="43" customFormat="1" ht="15.75">
      <c r="A44" s="88"/>
      <c r="B44" s="104"/>
      <c r="C44" s="88"/>
      <c r="D44" s="18" t="s">
        <v>15</v>
      </c>
      <c r="E44" s="37">
        <f t="shared" si="19"/>
        <v>101885.843</v>
      </c>
      <c r="F44" s="37">
        <f t="shared" si="19"/>
        <v>55914.4</v>
      </c>
      <c r="G44" s="38">
        <f>G43</f>
        <v>62837.3</v>
      </c>
      <c r="H44" s="38">
        <v>54899.4</v>
      </c>
      <c r="I44" s="38">
        <v>0</v>
      </c>
      <c r="J44" s="38">
        <v>0</v>
      </c>
      <c r="K44" s="38">
        <f>K43</f>
        <v>38033.543</v>
      </c>
      <c r="L44" s="38">
        <v>0</v>
      </c>
      <c r="M44" s="38">
        <v>1015</v>
      </c>
      <c r="N44" s="38">
        <f>M44</f>
        <v>1015</v>
      </c>
      <c r="O44" s="76"/>
      <c r="P44" s="42"/>
    </row>
    <row r="45" spans="1:16" ht="15.75">
      <c r="A45" s="88"/>
      <c r="B45" s="104"/>
      <c r="C45" s="88"/>
      <c r="D45" s="18" t="s">
        <v>16</v>
      </c>
      <c r="E45" s="37">
        <f t="shared" si="19"/>
        <v>101885.843</v>
      </c>
      <c r="F45" s="37">
        <f t="shared" si="19"/>
        <v>55914.4</v>
      </c>
      <c r="G45" s="38">
        <f>G44</f>
        <v>62837.3</v>
      </c>
      <c r="H45" s="38">
        <v>54899.4</v>
      </c>
      <c r="I45" s="38">
        <v>0</v>
      </c>
      <c r="J45" s="38">
        <v>0</v>
      </c>
      <c r="K45" s="38">
        <f>K44</f>
        <v>38033.543</v>
      </c>
      <c r="L45" s="38">
        <v>0</v>
      </c>
      <c r="M45" s="38">
        <v>1015</v>
      </c>
      <c r="N45" s="38">
        <f>M45</f>
        <v>1015</v>
      </c>
      <c r="O45" s="76"/>
      <c r="P45" s="3"/>
    </row>
    <row r="46" spans="1:16" ht="15.75">
      <c r="A46" s="88"/>
      <c r="B46" s="104"/>
      <c r="C46" s="89"/>
      <c r="D46" s="18" t="s">
        <v>17</v>
      </c>
      <c r="E46" s="37">
        <f t="shared" si="19"/>
        <v>101885.843</v>
      </c>
      <c r="F46" s="37">
        <f t="shared" si="19"/>
        <v>0</v>
      </c>
      <c r="G46" s="38">
        <f>G45</f>
        <v>62837.3</v>
      </c>
      <c r="H46" s="38">
        <v>0</v>
      </c>
      <c r="I46" s="38">
        <v>0</v>
      </c>
      <c r="J46" s="38">
        <v>0</v>
      </c>
      <c r="K46" s="38">
        <f>K45</f>
        <v>38033.543</v>
      </c>
      <c r="L46" s="38">
        <v>0</v>
      </c>
      <c r="M46" s="38">
        <f>M45</f>
        <v>1015</v>
      </c>
      <c r="N46" s="38">
        <v>0</v>
      </c>
      <c r="O46" s="76"/>
      <c r="P46" s="3"/>
    </row>
    <row r="47" spans="1:16" ht="15.75">
      <c r="A47" s="88"/>
      <c r="B47" s="104" t="s">
        <v>25</v>
      </c>
      <c r="C47" s="87"/>
      <c r="D47" s="18" t="s">
        <v>11</v>
      </c>
      <c r="E47" s="37">
        <f>SUM(E48:E53)</f>
        <v>3398</v>
      </c>
      <c r="F47" s="37">
        <f aca="true" t="shared" si="20" ref="F47:L47">SUM(F48:F53)</f>
        <v>80</v>
      </c>
      <c r="G47" s="38">
        <f t="shared" si="20"/>
        <v>2058</v>
      </c>
      <c r="H47" s="38">
        <f t="shared" si="20"/>
        <v>0</v>
      </c>
      <c r="I47" s="38">
        <f>SUM(I48:I53)</f>
        <v>525</v>
      </c>
      <c r="J47" s="38">
        <f>SUM(J48:J53)</f>
        <v>0</v>
      </c>
      <c r="K47" s="38">
        <f t="shared" si="20"/>
        <v>735</v>
      </c>
      <c r="L47" s="38">
        <f t="shared" si="20"/>
        <v>0</v>
      </c>
      <c r="M47" s="38">
        <f>SUM(M48:M53)</f>
        <v>80</v>
      </c>
      <c r="N47" s="38">
        <f>SUM(N48:N53)</f>
        <v>80</v>
      </c>
      <c r="O47" s="76"/>
      <c r="P47" s="3"/>
    </row>
    <row r="48" spans="1:16" s="2" customFormat="1" ht="24" customHeight="1">
      <c r="A48" s="88"/>
      <c r="B48" s="104"/>
      <c r="C48" s="88"/>
      <c r="D48" s="18" t="s">
        <v>12</v>
      </c>
      <c r="E48" s="37">
        <f>G48+I48+K48+M48</f>
        <v>3398</v>
      </c>
      <c r="F48" s="37">
        <f>H48+J48+L48+N48</f>
        <v>80</v>
      </c>
      <c r="G48" s="38">
        <v>2058</v>
      </c>
      <c r="H48" s="38">
        <v>0</v>
      </c>
      <c r="I48" s="38">
        <v>525</v>
      </c>
      <c r="J48" s="38"/>
      <c r="K48" s="38">
        <f>735</f>
        <v>735</v>
      </c>
      <c r="L48" s="38">
        <v>0</v>
      </c>
      <c r="M48" s="38">
        <v>80</v>
      </c>
      <c r="N48" s="38">
        <f>M48</f>
        <v>80</v>
      </c>
      <c r="O48" s="76"/>
      <c r="P48" s="3"/>
    </row>
    <row r="49" spans="1:16" ht="15" customHeight="1">
      <c r="A49" s="88"/>
      <c r="B49" s="104"/>
      <c r="C49" s="88"/>
      <c r="D49" s="18" t="s">
        <v>13</v>
      </c>
      <c r="E49" s="78" t="s">
        <v>60</v>
      </c>
      <c r="F49" s="79"/>
      <c r="G49" s="79"/>
      <c r="H49" s="79"/>
      <c r="I49" s="79"/>
      <c r="J49" s="79"/>
      <c r="K49" s="79"/>
      <c r="L49" s="79"/>
      <c r="M49" s="79"/>
      <c r="N49" s="80"/>
      <c r="O49" s="76"/>
      <c r="P49" s="3"/>
    </row>
    <row r="50" spans="1:16" ht="15" customHeight="1" hidden="1">
      <c r="A50" s="88"/>
      <c r="B50" s="104"/>
      <c r="C50" s="51"/>
      <c r="D50" s="18" t="s">
        <v>14</v>
      </c>
      <c r="E50" s="81"/>
      <c r="F50" s="82"/>
      <c r="G50" s="82"/>
      <c r="H50" s="82"/>
      <c r="I50" s="82"/>
      <c r="J50" s="82"/>
      <c r="K50" s="82"/>
      <c r="L50" s="82"/>
      <c r="M50" s="82"/>
      <c r="N50" s="83"/>
      <c r="O50" s="76"/>
      <c r="P50" s="3"/>
    </row>
    <row r="51" spans="1:16" ht="15" customHeight="1" hidden="1">
      <c r="A51" s="88"/>
      <c r="B51" s="104"/>
      <c r="C51" s="51"/>
      <c r="D51" s="18" t="s">
        <v>15</v>
      </c>
      <c r="E51" s="81"/>
      <c r="F51" s="82"/>
      <c r="G51" s="82"/>
      <c r="H51" s="82"/>
      <c r="I51" s="82"/>
      <c r="J51" s="82"/>
      <c r="K51" s="82"/>
      <c r="L51" s="82"/>
      <c r="M51" s="82"/>
      <c r="N51" s="83"/>
      <c r="O51" s="76"/>
      <c r="P51" s="3"/>
    </row>
    <row r="52" spans="1:16" ht="15" customHeight="1" hidden="1">
      <c r="A52" s="88"/>
      <c r="B52" s="104"/>
      <c r="C52" s="51"/>
      <c r="D52" s="18" t="s">
        <v>16</v>
      </c>
      <c r="E52" s="81"/>
      <c r="F52" s="82"/>
      <c r="G52" s="82"/>
      <c r="H52" s="82"/>
      <c r="I52" s="82"/>
      <c r="J52" s="82"/>
      <c r="K52" s="82"/>
      <c r="L52" s="82"/>
      <c r="M52" s="82"/>
      <c r="N52" s="83"/>
      <c r="O52" s="76"/>
      <c r="P52" s="3"/>
    </row>
    <row r="53" spans="1:16" ht="15" customHeight="1" hidden="1">
      <c r="A53" s="88"/>
      <c r="B53" s="104"/>
      <c r="C53" s="51"/>
      <c r="D53" s="18" t="s">
        <v>17</v>
      </c>
      <c r="E53" s="84"/>
      <c r="F53" s="85"/>
      <c r="G53" s="85"/>
      <c r="H53" s="85"/>
      <c r="I53" s="85"/>
      <c r="J53" s="85"/>
      <c r="K53" s="85"/>
      <c r="L53" s="85"/>
      <c r="M53" s="85"/>
      <c r="N53" s="86"/>
      <c r="O53" s="76"/>
      <c r="P53" s="3"/>
    </row>
    <row r="54" spans="1:16" ht="15" customHeight="1" hidden="1">
      <c r="A54" s="88"/>
      <c r="B54" s="104" t="s">
        <v>40</v>
      </c>
      <c r="C54" s="51"/>
      <c r="D54" s="18" t="s">
        <v>11</v>
      </c>
      <c r="E54" s="37">
        <f>SUM(E55:E60)</f>
        <v>0</v>
      </c>
      <c r="F54" s="37">
        <f aca="true" t="shared" si="21" ref="F54:N54">SUM(F55:F60)</f>
        <v>0</v>
      </c>
      <c r="G54" s="38">
        <f t="shared" si="21"/>
        <v>0</v>
      </c>
      <c r="H54" s="38">
        <f t="shared" si="21"/>
        <v>0</v>
      </c>
      <c r="I54" s="38">
        <f t="shared" si="21"/>
        <v>0</v>
      </c>
      <c r="J54" s="38">
        <f t="shared" si="21"/>
        <v>0</v>
      </c>
      <c r="K54" s="38">
        <f t="shared" si="21"/>
        <v>0</v>
      </c>
      <c r="L54" s="38">
        <f t="shared" si="21"/>
        <v>0</v>
      </c>
      <c r="M54" s="38">
        <f t="shared" si="21"/>
        <v>0</v>
      </c>
      <c r="N54" s="38">
        <f t="shared" si="21"/>
        <v>0</v>
      </c>
      <c r="O54" s="76"/>
      <c r="P54" s="3"/>
    </row>
    <row r="55" spans="1:16" s="2" customFormat="1" ht="15" customHeight="1" hidden="1">
      <c r="A55" s="88"/>
      <c r="B55" s="104"/>
      <c r="C55" s="51"/>
      <c r="D55" s="18" t="s">
        <v>12</v>
      </c>
      <c r="E55" s="37">
        <f aca="true" t="shared" si="22" ref="E55:F60">G55+I55+K55+M55</f>
        <v>0</v>
      </c>
      <c r="F55" s="37">
        <f t="shared" si="22"/>
        <v>0</v>
      </c>
      <c r="G55" s="38"/>
      <c r="H55" s="38"/>
      <c r="I55" s="38"/>
      <c r="J55" s="38"/>
      <c r="K55" s="38"/>
      <c r="L55" s="38"/>
      <c r="M55" s="38"/>
      <c r="N55" s="38"/>
      <c r="O55" s="76"/>
      <c r="P55" s="3"/>
    </row>
    <row r="56" spans="1:16" ht="15" customHeight="1" hidden="1">
      <c r="A56" s="88"/>
      <c r="B56" s="104"/>
      <c r="C56" s="51"/>
      <c r="D56" s="18" t="s">
        <v>13</v>
      </c>
      <c r="E56" s="37">
        <f t="shared" si="22"/>
        <v>0</v>
      </c>
      <c r="F56" s="37">
        <f t="shared" si="22"/>
        <v>0</v>
      </c>
      <c r="G56" s="38"/>
      <c r="H56" s="38"/>
      <c r="I56" s="38"/>
      <c r="J56" s="38"/>
      <c r="K56" s="38"/>
      <c r="L56" s="38"/>
      <c r="M56" s="38"/>
      <c r="N56" s="38"/>
      <c r="O56" s="76"/>
      <c r="P56" s="3"/>
    </row>
    <row r="57" spans="1:16" ht="15" customHeight="1" hidden="1">
      <c r="A57" s="88"/>
      <c r="B57" s="104"/>
      <c r="C57" s="51"/>
      <c r="D57" s="18" t="s">
        <v>14</v>
      </c>
      <c r="E57" s="37">
        <f t="shared" si="22"/>
        <v>0</v>
      </c>
      <c r="F57" s="37">
        <f t="shared" si="22"/>
        <v>0</v>
      </c>
      <c r="G57" s="38"/>
      <c r="H57" s="38"/>
      <c r="I57" s="38"/>
      <c r="J57" s="38"/>
      <c r="K57" s="38"/>
      <c r="L57" s="38"/>
      <c r="M57" s="38"/>
      <c r="N57" s="38"/>
      <c r="O57" s="76"/>
      <c r="P57" s="3"/>
    </row>
    <row r="58" spans="1:16" ht="15" customHeight="1" hidden="1">
      <c r="A58" s="88"/>
      <c r="B58" s="104"/>
      <c r="C58" s="51"/>
      <c r="D58" s="18" t="s">
        <v>15</v>
      </c>
      <c r="E58" s="37">
        <f t="shared" si="22"/>
        <v>0</v>
      </c>
      <c r="F58" s="37">
        <f t="shared" si="22"/>
        <v>0</v>
      </c>
      <c r="G58" s="38"/>
      <c r="H58" s="38"/>
      <c r="I58" s="38"/>
      <c r="J58" s="38"/>
      <c r="K58" s="38"/>
      <c r="L58" s="38"/>
      <c r="M58" s="38"/>
      <c r="N58" s="38"/>
      <c r="O58" s="76"/>
      <c r="P58" s="3"/>
    </row>
    <row r="59" spans="1:16" ht="15" customHeight="1" hidden="1">
      <c r="A59" s="88"/>
      <c r="B59" s="104"/>
      <c r="C59" s="51"/>
      <c r="D59" s="18" t="s">
        <v>16</v>
      </c>
      <c r="E59" s="37">
        <f t="shared" si="22"/>
        <v>0</v>
      </c>
      <c r="F59" s="37">
        <f t="shared" si="22"/>
        <v>0</v>
      </c>
      <c r="G59" s="38"/>
      <c r="H59" s="38"/>
      <c r="I59" s="38"/>
      <c r="J59" s="38"/>
      <c r="K59" s="38"/>
      <c r="L59" s="38"/>
      <c r="M59" s="38"/>
      <c r="N59" s="38"/>
      <c r="O59" s="76"/>
      <c r="P59" s="3"/>
    </row>
    <row r="60" spans="1:16" ht="15" customHeight="1" hidden="1">
      <c r="A60" s="88"/>
      <c r="B60" s="104"/>
      <c r="C60" s="51"/>
      <c r="D60" s="18" t="s">
        <v>17</v>
      </c>
      <c r="E60" s="37">
        <f t="shared" si="22"/>
        <v>0</v>
      </c>
      <c r="F60" s="37">
        <f t="shared" si="22"/>
        <v>0</v>
      </c>
      <c r="G60" s="38"/>
      <c r="H60" s="38"/>
      <c r="I60" s="38"/>
      <c r="J60" s="38"/>
      <c r="K60" s="38"/>
      <c r="L60" s="38"/>
      <c r="M60" s="38"/>
      <c r="N60" s="38"/>
      <c r="O60" s="76"/>
      <c r="P60" s="3"/>
    </row>
    <row r="61" spans="1:16" ht="15" customHeight="1">
      <c r="A61" s="88"/>
      <c r="B61" s="60" t="s">
        <v>43</v>
      </c>
      <c r="C61" s="56"/>
      <c r="D61" s="18" t="s">
        <v>11</v>
      </c>
      <c r="E61" s="37">
        <f>SUM(E62:E67)</f>
        <v>3776</v>
      </c>
      <c r="F61" s="37">
        <f aca="true" t="shared" si="23" ref="F61:N61">SUM(F62:F67)</f>
        <v>600</v>
      </c>
      <c r="G61" s="37">
        <f t="shared" si="23"/>
        <v>3696</v>
      </c>
      <c r="H61" s="37">
        <f t="shared" si="23"/>
        <v>520</v>
      </c>
      <c r="I61" s="37">
        <f t="shared" si="23"/>
        <v>0</v>
      </c>
      <c r="J61" s="37">
        <f t="shared" si="23"/>
        <v>0</v>
      </c>
      <c r="K61" s="37">
        <f t="shared" si="23"/>
        <v>0</v>
      </c>
      <c r="L61" s="37">
        <f t="shared" si="23"/>
        <v>0</v>
      </c>
      <c r="M61" s="37">
        <f t="shared" si="23"/>
        <v>80</v>
      </c>
      <c r="N61" s="37">
        <f t="shared" si="23"/>
        <v>80</v>
      </c>
      <c r="O61" s="76"/>
      <c r="P61" s="3"/>
    </row>
    <row r="62" spans="1:16" s="2" customFormat="1" ht="15.75">
      <c r="A62" s="88"/>
      <c r="B62" s="61"/>
      <c r="C62" s="51"/>
      <c r="D62" s="18" t="s">
        <v>12</v>
      </c>
      <c r="E62" s="37">
        <f aca="true" t="shared" si="24" ref="E62:F67">G62+I62+K62+M62</f>
        <v>340</v>
      </c>
      <c r="F62" s="37">
        <f t="shared" si="24"/>
        <v>80</v>
      </c>
      <c r="G62" s="38">
        <v>260</v>
      </c>
      <c r="H62" s="38">
        <v>0</v>
      </c>
      <c r="I62" s="38"/>
      <c r="J62" s="38"/>
      <c r="K62" s="38"/>
      <c r="L62" s="38"/>
      <c r="M62" s="38">
        <v>80</v>
      </c>
      <c r="N62" s="38">
        <f>M62</f>
        <v>80</v>
      </c>
      <c r="O62" s="76"/>
      <c r="P62" s="3"/>
    </row>
    <row r="63" spans="1:28" ht="15.75">
      <c r="A63" s="88"/>
      <c r="B63" s="61"/>
      <c r="C63" s="115" t="s">
        <v>100</v>
      </c>
      <c r="D63" s="18" t="s">
        <v>13</v>
      </c>
      <c r="E63" s="37">
        <f t="shared" si="24"/>
        <v>1220</v>
      </c>
      <c r="F63" s="37">
        <f t="shared" si="24"/>
        <v>260</v>
      </c>
      <c r="G63" s="38">
        <f>H63+960</f>
        <v>1220</v>
      </c>
      <c r="H63" s="38">
        <v>260</v>
      </c>
      <c r="I63" s="38"/>
      <c r="J63" s="38"/>
      <c r="K63" s="38"/>
      <c r="L63" s="38"/>
      <c r="M63" s="38">
        <v>0</v>
      </c>
      <c r="N63" s="38">
        <v>0</v>
      </c>
      <c r="O63" s="76"/>
      <c r="P63" s="3"/>
      <c r="AB63" s="48"/>
    </row>
    <row r="64" spans="1:16" ht="15" customHeight="1">
      <c r="A64" s="88"/>
      <c r="B64" s="61"/>
      <c r="C64" s="115"/>
      <c r="D64" s="18" t="s">
        <v>14</v>
      </c>
      <c r="E64" s="37">
        <f t="shared" si="24"/>
        <v>554</v>
      </c>
      <c r="F64" s="37">
        <f t="shared" si="24"/>
        <v>260</v>
      </c>
      <c r="G64" s="38">
        <f>H64+294</f>
        <v>554</v>
      </c>
      <c r="H64" s="38">
        <v>260</v>
      </c>
      <c r="I64" s="38"/>
      <c r="J64" s="38"/>
      <c r="K64" s="38"/>
      <c r="L64" s="38"/>
      <c r="M64" s="38">
        <v>0</v>
      </c>
      <c r="N64" s="38">
        <v>0</v>
      </c>
      <c r="O64" s="76"/>
      <c r="P64" s="3"/>
    </row>
    <row r="65" spans="1:16" ht="15.75">
      <c r="A65" s="88"/>
      <c r="B65" s="61"/>
      <c r="C65" s="115"/>
      <c r="D65" s="18" t="s">
        <v>15</v>
      </c>
      <c r="E65" s="37">
        <f t="shared" si="24"/>
        <v>554</v>
      </c>
      <c r="F65" s="37">
        <f t="shared" si="24"/>
        <v>0</v>
      </c>
      <c r="G65" s="38">
        <f>G64</f>
        <v>554</v>
      </c>
      <c r="H65" s="38">
        <v>0</v>
      </c>
      <c r="I65" s="38"/>
      <c r="J65" s="38"/>
      <c r="K65" s="38"/>
      <c r="L65" s="38"/>
      <c r="M65" s="38">
        <f>1.1*M64</f>
        <v>0</v>
      </c>
      <c r="N65" s="38">
        <v>0</v>
      </c>
      <c r="O65" s="76"/>
      <c r="P65" s="3"/>
    </row>
    <row r="66" spans="1:16" ht="15.75">
      <c r="A66" s="88"/>
      <c r="B66" s="61"/>
      <c r="C66" s="115"/>
      <c r="D66" s="18" t="s">
        <v>16</v>
      </c>
      <c r="E66" s="37">
        <f t="shared" si="24"/>
        <v>554</v>
      </c>
      <c r="F66" s="37">
        <f t="shared" si="24"/>
        <v>0</v>
      </c>
      <c r="G66" s="38">
        <f>G65</f>
        <v>554</v>
      </c>
      <c r="H66" s="38">
        <v>0</v>
      </c>
      <c r="I66" s="38"/>
      <c r="J66" s="38"/>
      <c r="K66" s="38"/>
      <c r="L66" s="38"/>
      <c r="M66" s="38">
        <f>1.1*M65</f>
        <v>0</v>
      </c>
      <c r="N66" s="38">
        <v>0</v>
      </c>
      <c r="O66" s="76"/>
      <c r="P66" s="3"/>
    </row>
    <row r="67" spans="1:16" ht="15.75">
      <c r="A67" s="88"/>
      <c r="B67" s="62"/>
      <c r="C67" s="115"/>
      <c r="D67" s="18" t="s">
        <v>17</v>
      </c>
      <c r="E67" s="37">
        <f t="shared" si="24"/>
        <v>554</v>
      </c>
      <c r="F67" s="37">
        <f t="shared" si="24"/>
        <v>0</v>
      </c>
      <c r="G67" s="38">
        <f>G66</f>
        <v>554</v>
      </c>
      <c r="H67" s="38">
        <v>0</v>
      </c>
      <c r="I67" s="38"/>
      <c r="J67" s="38"/>
      <c r="K67" s="38"/>
      <c r="L67" s="38"/>
      <c r="M67" s="38">
        <f>1.1*M66</f>
        <v>0</v>
      </c>
      <c r="N67" s="38">
        <v>0</v>
      </c>
      <c r="O67" s="76"/>
      <c r="P67" s="3"/>
    </row>
    <row r="68" spans="1:16" ht="15.75" customHeight="1">
      <c r="A68" s="88"/>
      <c r="B68" s="60" t="s">
        <v>47</v>
      </c>
      <c r="D68" s="18" t="s">
        <v>11</v>
      </c>
      <c r="E68" s="37">
        <f>SUM(E69:E74)</f>
        <v>930</v>
      </c>
      <c r="F68" s="37">
        <f aca="true" t="shared" si="25" ref="F68:L68">SUM(F69:F74)</f>
        <v>775</v>
      </c>
      <c r="G68" s="38">
        <f t="shared" si="25"/>
        <v>930</v>
      </c>
      <c r="H68" s="38">
        <f t="shared" si="25"/>
        <v>775</v>
      </c>
      <c r="I68" s="38">
        <f t="shared" si="25"/>
        <v>0</v>
      </c>
      <c r="J68" s="38">
        <f t="shared" si="25"/>
        <v>0</v>
      </c>
      <c r="K68" s="38">
        <f t="shared" si="25"/>
        <v>0</v>
      </c>
      <c r="L68" s="38">
        <f t="shared" si="25"/>
        <v>0</v>
      </c>
      <c r="M68" s="38"/>
      <c r="N68" s="38"/>
      <c r="O68" s="76"/>
      <c r="P68" s="3"/>
    </row>
    <row r="69" spans="1:16" ht="30.75" customHeight="1">
      <c r="A69" s="88"/>
      <c r="B69" s="61"/>
      <c r="C69" s="49" t="s">
        <v>87</v>
      </c>
      <c r="D69" s="18" t="s">
        <v>12</v>
      </c>
      <c r="E69" s="37">
        <f aca="true" t="shared" si="26" ref="E69:F74">G69+I69+K69+M69</f>
        <v>155</v>
      </c>
      <c r="F69" s="37">
        <f t="shared" si="26"/>
        <v>155</v>
      </c>
      <c r="G69" s="38">
        <v>155</v>
      </c>
      <c r="H69" s="38">
        <v>155</v>
      </c>
      <c r="I69" s="38"/>
      <c r="J69" s="38"/>
      <c r="K69" s="38"/>
      <c r="L69" s="38"/>
      <c r="M69" s="38"/>
      <c r="N69" s="38"/>
      <c r="O69" s="76"/>
      <c r="P69" s="3"/>
    </row>
    <row r="70" spans="1:16" ht="24.75" customHeight="1">
      <c r="A70" s="88"/>
      <c r="B70" s="61"/>
      <c r="C70" s="114" t="s">
        <v>63</v>
      </c>
      <c r="D70" s="18" t="s">
        <v>13</v>
      </c>
      <c r="E70" s="37">
        <f t="shared" si="26"/>
        <v>155</v>
      </c>
      <c r="F70" s="37">
        <f t="shared" si="26"/>
        <v>155</v>
      </c>
      <c r="G70" s="38">
        <v>155</v>
      </c>
      <c r="H70" s="38">
        <v>155</v>
      </c>
      <c r="I70" s="38"/>
      <c r="J70" s="38"/>
      <c r="K70" s="38"/>
      <c r="L70" s="38"/>
      <c r="M70" s="38"/>
      <c r="N70" s="38"/>
      <c r="O70" s="76"/>
      <c r="P70" s="3"/>
    </row>
    <row r="71" spans="1:16" ht="26.25" customHeight="1">
      <c r="A71" s="88"/>
      <c r="B71" s="61"/>
      <c r="C71" s="93"/>
      <c r="D71" s="18" t="s">
        <v>14</v>
      </c>
      <c r="E71" s="37">
        <f t="shared" si="26"/>
        <v>155</v>
      </c>
      <c r="F71" s="37">
        <f t="shared" si="26"/>
        <v>155</v>
      </c>
      <c r="G71" s="38">
        <v>155</v>
      </c>
      <c r="H71" s="38">
        <v>155</v>
      </c>
      <c r="I71" s="38"/>
      <c r="J71" s="38"/>
      <c r="K71" s="38"/>
      <c r="L71" s="38"/>
      <c r="M71" s="38"/>
      <c r="N71" s="38"/>
      <c r="O71" s="76"/>
      <c r="P71" s="3"/>
    </row>
    <row r="72" spans="1:16" ht="15.75">
      <c r="A72" s="88"/>
      <c r="B72" s="61"/>
      <c r="C72" s="93"/>
      <c r="D72" s="18" t="s">
        <v>15</v>
      </c>
      <c r="E72" s="37">
        <f t="shared" si="26"/>
        <v>155</v>
      </c>
      <c r="F72" s="37">
        <f t="shared" si="26"/>
        <v>155</v>
      </c>
      <c r="G72" s="38">
        <v>155</v>
      </c>
      <c r="H72" s="38">
        <v>155</v>
      </c>
      <c r="I72" s="38"/>
      <c r="J72" s="38"/>
      <c r="K72" s="38"/>
      <c r="L72" s="38"/>
      <c r="M72" s="38"/>
      <c r="N72" s="38"/>
      <c r="O72" s="76"/>
      <c r="P72" s="3"/>
    </row>
    <row r="73" spans="1:16" ht="15.75">
      <c r="A73" s="88"/>
      <c r="B73" s="61"/>
      <c r="C73" s="93"/>
      <c r="D73" s="18" t="s">
        <v>16</v>
      </c>
      <c r="E73" s="37">
        <f t="shared" si="26"/>
        <v>155</v>
      </c>
      <c r="F73" s="37">
        <f t="shared" si="26"/>
        <v>155</v>
      </c>
      <c r="G73" s="38">
        <v>155</v>
      </c>
      <c r="H73" s="38">
        <v>155</v>
      </c>
      <c r="I73" s="38"/>
      <c r="J73" s="38"/>
      <c r="K73" s="38"/>
      <c r="L73" s="38"/>
      <c r="M73" s="38"/>
      <c r="N73" s="38"/>
      <c r="O73" s="76"/>
      <c r="P73" s="3"/>
    </row>
    <row r="74" spans="1:16" ht="15.75">
      <c r="A74" s="88"/>
      <c r="B74" s="62"/>
      <c r="C74" s="94"/>
      <c r="D74" s="18" t="s">
        <v>17</v>
      </c>
      <c r="E74" s="37">
        <f t="shared" si="26"/>
        <v>155</v>
      </c>
      <c r="F74" s="37">
        <f t="shared" si="26"/>
        <v>0</v>
      </c>
      <c r="G74" s="38">
        <v>155</v>
      </c>
      <c r="H74" s="38"/>
      <c r="I74" s="38"/>
      <c r="J74" s="38"/>
      <c r="K74" s="38"/>
      <c r="L74" s="38"/>
      <c r="M74" s="38"/>
      <c r="N74" s="38"/>
      <c r="O74" s="77"/>
      <c r="P74" s="3"/>
    </row>
    <row r="75" spans="1:16" ht="15.75">
      <c r="A75" s="101" t="s">
        <v>55</v>
      </c>
      <c r="B75" s="21" t="s">
        <v>50</v>
      </c>
      <c r="C75" s="19"/>
      <c r="D75" s="19" t="s">
        <v>11</v>
      </c>
      <c r="E75" s="46">
        <f aca="true" t="shared" si="27" ref="E75:N75">SUM(E76:E81)</f>
        <v>127746.196</v>
      </c>
      <c r="F75" s="37">
        <f t="shared" si="27"/>
        <v>92104.224</v>
      </c>
      <c r="G75" s="37">
        <f t="shared" si="27"/>
        <v>59325.200000000004</v>
      </c>
      <c r="H75" s="37">
        <f t="shared" si="27"/>
        <v>41341.1</v>
      </c>
      <c r="I75" s="37">
        <f t="shared" si="27"/>
        <v>0</v>
      </c>
      <c r="J75" s="37">
        <f t="shared" si="27"/>
        <v>0</v>
      </c>
      <c r="K75" s="37">
        <f t="shared" si="27"/>
        <v>14967.795999999998</v>
      </c>
      <c r="L75" s="47">
        <f t="shared" si="27"/>
        <v>6009.923999999999</v>
      </c>
      <c r="M75" s="37">
        <f t="shared" si="27"/>
        <v>53453.2</v>
      </c>
      <c r="N75" s="37">
        <f t="shared" si="27"/>
        <v>44753.2</v>
      </c>
      <c r="O75" s="75" t="s">
        <v>39</v>
      </c>
      <c r="P75" s="3"/>
    </row>
    <row r="76" spans="1:16" s="13" customFormat="1" ht="36.75" customHeight="1">
      <c r="A76" s="101"/>
      <c r="B76" s="106" t="s">
        <v>18</v>
      </c>
      <c r="C76" s="19" t="s">
        <v>83</v>
      </c>
      <c r="D76" s="19" t="s">
        <v>12</v>
      </c>
      <c r="E76" s="44">
        <f>G76+I76+K76+M76</f>
        <v>18924</v>
      </c>
      <c r="F76" s="44">
        <f aca="true" t="shared" si="28" ref="E76:F81">H76+J76+L76+N76</f>
        <v>17923.5</v>
      </c>
      <c r="G76" s="44">
        <f aca="true" t="shared" si="29" ref="G76:H78">G83+G90+G97</f>
        <v>8382.8</v>
      </c>
      <c r="H76" s="44">
        <f t="shared" si="29"/>
        <v>7582.3</v>
      </c>
      <c r="I76" s="44">
        <f>I83+I90</f>
        <v>0</v>
      </c>
      <c r="J76" s="44">
        <f>J83+J90</f>
        <v>0</v>
      </c>
      <c r="K76" s="44">
        <f>K83+K90</f>
        <v>1841.2</v>
      </c>
      <c r="L76" s="44">
        <f>L83+L90</f>
        <v>1641.2</v>
      </c>
      <c r="M76" s="44">
        <f aca="true" t="shared" si="30" ref="M76:N81">M83+M90</f>
        <v>8700</v>
      </c>
      <c r="N76" s="44">
        <f>N83+N90</f>
        <v>8700</v>
      </c>
      <c r="O76" s="76"/>
      <c r="P76" s="3"/>
    </row>
    <row r="77" spans="1:16" s="13" customFormat="1" ht="15.75" customHeight="1">
      <c r="A77" s="101"/>
      <c r="B77" s="73"/>
      <c r="C77" s="103" t="s">
        <v>88</v>
      </c>
      <c r="D77" s="19" t="s">
        <v>13</v>
      </c>
      <c r="E77" s="44">
        <f>G77+I77+K77+M77</f>
        <v>19837</v>
      </c>
      <c r="F77" s="44">
        <f t="shared" si="28"/>
        <v>18611.699999999997</v>
      </c>
      <c r="G77" s="44">
        <f t="shared" si="29"/>
        <v>9108.8</v>
      </c>
      <c r="H77" s="44">
        <f>H84+H98</f>
        <v>8083.5</v>
      </c>
      <c r="I77" s="44">
        <f aca="true" t="shared" si="31" ref="I77:L81">I84+I91</f>
        <v>0</v>
      </c>
      <c r="J77" s="44">
        <f t="shared" si="31"/>
        <v>0</v>
      </c>
      <c r="K77" s="44">
        <f t="shared" si="31"/>
        <v>1652.8999999999999</v>
      </c>
      <c r="L77" s="44">
        <f t="shared" si="31"/>
        <v>1452.8999999999999</v>
      </c>
      <c r="M77" s="44">
        <f t="shared" si="30"/>
        <v>9075.3</v>
      </c>
      <c r="N77" s="44">
        <f t="shared" si="30"/>
        <v>9075.3</v>
      </c>
      <c r="O77" s="76"/>
      <c r="P77" s="3"/>
    </row>
    <row r="78" spans="1:16" s="13" customFormat="1" ht="27" customHeight="1">
      <c r="A78" s="101"/>
      <c r="B78" s="73"/>
      <c r="C78" s="98"/>
      <c r="D78" s="19" t="s">
        <v>14</v>
      </c>
      <c r="E78" s="44">
        <f>G78+I78+K78+M78</f>
        <v>22904.724000000002</v>
      </c>
      <c r="F78" s="44">
        <f t="shared" si="28"/>
        <v>22362.424</v>
      </c>
      <c r="G78" s="44">
        <f t="shared" si="29"/>
        <v>10458.4</v>
      </c>
      <c r="H78" s="44">
        <f>H85+H92+H99</f>
        <v>9916.1</v>
      </c>
      <c r="I78" s="44">
        <f t="shared" si="31"/>
        <v>0</v>
      </c>
      <c r="J78" s="44">
        <f t="shared" si="31"/>
        <v>0</v>
      </c>
      <c r="K78" s="44">
        <f>K85+K92</f>
        <v>2868.424</v>
      </c>
      <c r="L78" s="44">
        <f t="shared" si="31"/>
        <v>2868.424</v>
      </c>
      <c r="M78" s="44">
        <f t="shared" si="30"/>
        <v>9577.9</v>
      </c>
      <c r="N78" s="44">
        <f t="shared" si="30"/>
        <v>9577.9</v>
      </c>
      <c r="O78" s="76"/>
      <c r="P78" s="3"/>
    </row>
    <row r="79" spans="1:16" s="13" customFormat="1" ht="15.75">
      <c r="A79" s="101"/>
      <c r="B79" s="73"/>
      <c r="C79" s="98"/>
      <c r="D79" s="19" t="s">
        <v>15</v>
      </c>
      <c r="E79" s="44">
        <f>G79+I79+K79+M79</f>
        <v>22026.824</v>
      </c>
      <c r="F79" s="44">
        <f t="shared" si="28"/>
        <v>16603.3</v>
      </c>
      <c r="G79" s="44">
        <f>G86+G93+G100</f>
        <v>10458.4</v>
      </c>
      <c r="H79" s="44">
        <f>H86+H93+H100</f>
        <v>7879.6</v>
      </c>
      <c r="I79" s="44">
        <f t="shared" si="31"/>
        <v>0</v>
      </c>
      <c r="J79" s="44">
        <f t="shared" si="31"/>
        <v>0</v>
      </c>
      <c r="K79" s="44">
        <f t="shared" si="31"/>
        <v>2868.424</v>
      </c>
      <c r="L79" s="44">
        <f t="shared" si="31"/>
        <v>23.7</v>
      </c>
      <c r="M79" s="44">
        <f t="shared" si="30"/>
        <v>8700</v>
      </c>
      <c r="N79" s="44">
        <f t="shared" si="30"/>
        <v>8700</v>
      </c>
      <c r="O79" s="76"/>
      <c r="P79" s="3"/>
    </row>
    <row r="80" spans="1:16" s="13" customFormat="1" ht="15.75">
      <c r="A80" s="101"/>
      <c r="B80" s="73"/>
      <c r="C80" s="98"/>
      <c r="D80" s="19" t="s">
        <v>16</v>
      </c>
      <c r="E80" s="44">
        <f t="shared" si="28"/>
        <v>22026.824</v>
      </c>
      <c r="F80" s="44">
        <f t="shared" si="28"/>
        <v>16603.3</v>
      </c>
      <c r="G80" s="44">
        <f>G87+G94+G101</f>
        <v>10458.4</v>
      </c>
      <c r="H80" s="44">
        <f>H87+H94+H101</f>
        <v>7879.6</v>
      </c>
      <c r="I80" s="44">
        <f t="shared" si="31"/>
        <v>0</v>
      </c>
      <c r="J80" s="44">
        <f t="shared" si="31"/>
        <v>0</v>
      </c>
      <c r="K80" s="44">
        <f>K87+K94</f>
        <v>2868.424</v>
      </c>
      <c r="L80" s="44">
        <f t="shared" si="31"/>
        <v>23.7</v>
      </c>
      <c r="M80" s="44">
        <f t="shared" si="30"/>
        <v>8700</v>
      </c>
      <c r="N80" s="44">
        <f t="shared" si="30"/>
        <v>8700</v>
      </c>
      <c r="O80" s="76"/>
      <c r="P80" s="3"/>
    </row>
    <row r="81" spans="1:16" s="13" customFormat="1" ht="15.75">
      <c r="A81" s="101"/>
      <c r="B81" s="74"/>
      <c r="C81" s="99"/>
      <c r="D81" s="19" t="s">
        <v>17</v>
      </c>
      <c r="E81" s="44">
        <f t="shared" si="28"/>
        <v>22026.824</v>
      </c>
      <c r="F81" s="44">
        <f t="shared" si="28"/>
        <v>0</v>
      </c>
      <c r="G81" s="44">
        <f>G88+G95+G102</f>
        <v>10458.4</v>
      </c>
      <c r="H81" s="44">
        <f>H88+H95+H102</f>
        <v>0</v>
      </c>
      <c r="I81" s="44">
        <f t="shared" si="31"/>
        <v>0</v>
      </c>
      <c r="J81" s="44">
        <f t="shared" si="31"/>
        <v>0</v>
      </c>
      <c r="K81" s="44">
        <f t="shared" si="31"/>
        <v>2868.424</v>
      </c>
      <c r="L81" s="44">
        <f t="shared" si="31"/>
        <v>0</v>
      </c>
      <c r="M81" s="44">
        <f t="shared" si="30"/>
        <v>8700</v>
      </c>
      <c r="N81" s="44">
        <f t="shared" si="30"/>
        <v>0</v>
      </c>
      <c r="O81" s="76"/>
      <c r="P81" s="3"/>
    </row>
    <row r="82" spans="1:16" s="13" customFormat="1" ht="15.75">
      <c r="A82" s="101"/>
      <c r="B82" s="104" t="s">
        <v>26</v>
      </c>
      <c r="C82" s="50"/>
      <c r="D82" s="18" t="s">
        <v>11</v>
      </c>
      <c r="E82" s="37">
        <f>SUM(E83:E88)</f>
        <v>127526.196</v>
      </c>
      <c r="F82" s="37">
        <f>SUM(F83:F88)</f>
        <v>92104.224</v>
      </c>
      <c r="G82" s="38">
        <f aca="true" t="shared" si="32" ref="G82:N82">SUM(G83:G88)</f>
        <v>59105.200000000004</v>
      </c>
      <c r="H82" s="38">
        <f t="shared" si="32"/>
        <v>41341.1</v>
      </c>
      <c r="I82" s="38">
        <f t="shared" si="32"/>
        <v>0</v>
      </c>
      <c r="J82" s="38">
        <f t="shared" si="32"/>
        <v>0</v>
      </c>
      <c r="K82" s="38">
        <f t="shared" si="32"/>
        <v>14967.795999999998</v>
      </c>
      <c r="L82" s="38">
        <f t="shared" si="32"/>
        <v>6009.923999999999</v>
      </c>
      <c r="M82" s="38">
        <f t="shared" si="32"/>
        <v>53453.2</v>
      </c>
      <c r="N82" s="38">
        <f t="shared" si="32"/>
        <v>44753.2</v>
      </c>
      <c r="O82" s="76"/>
      <c r="P82" s="3"/>
    </row>
    <row r="83" spans="1:16" s="2" customFormat="1" ht="57.75" customHeight="1">
      <c r="A83" s="101"/>
      <c r="B83" s="104"/>
      <c r="C83" s="18" t="s">
        <v>90</v>
      </c>
      <c r="D83" s="18" t="s">
        <v>12</v>
      </c>
      <c r="E83" s="37">
        <f>G83+I83+K83+M83</f>
        <v>18704</v>
      </c>
      <c r="F83" s="37">
        <f aca="true" t="shared" si="33" ref="E83:F88">H83+J83+L83+N83</f>
        <v>17923.5</v>
      </c>
      <c r="G83" s="38">
        <f>743.8+H83-163.3</f>
        <v>8162.8</v>
      </c>
      <c r="H83" s="38">
        <v>7582.3</v>
      </c>
      <c r="I83" s="38"/>
      <c r="J83" s="38">
        <v>0</v>
      </c>
      <c r="K83" s="38">
        <f>200+L83</f>
        <v>1841.2</v>
      </c>
      <c r="L83" s="38">
        <v>1641.2</v>
      </c>
      <c r="M83" s="38">
        <v>8700</v>
      </c>
      <c r="N83" s="38">
        <f>M83</f>
        <v>8700</v>
      </c>
      <c r="O83" s="76"/>
      <c r="P83" s="3"/>
    </row>
    <row r="84" spans="1:16" ht="53.25" customHeight="1">
      <c r="A84" s="101"/>
      <c r="B84" s="104"/>
      <c r="C84" s="18" t="s">
        <v>89</v>
      </c>
      <c r="D84" s="18" t="s">
        <v>13</v>
      </c>
      <c r="E84" s="37">
        <f>G84+I84+K84+M84</f>
        <v>19837</v>
      </c>
      <c r="F84" s="37">
        <f t="shared" si="33"/>
        <v>18611.699999999997</v>
      </c>
      <c r="G84" s="38">
        <f>H84+75.9+193.4+46+230+480</f>
        <v>9108.8</v>
      </c>
      <c r="H84" s="38">
        <f>8393.5-250+30+30-120</f>
        <v>8083.5</v>
      </c>
      <c r="I84" s="38"/>
      <c r="J84" s="38">
        <v>0</v>
      </c>
      <c r="K84" s="38">
        <f>200+L84</f>
        <v>1652.8999999999999</v>
      </c>
      <c r="L84" s="38">
        <f>3129.6+15-1691.7</f>
        <v>1452.8999999999999</v>
      </c>
      <c r="M84" s="38">
        <f>9075.3-M91</f>
        <v>9075.3</v>
      </c>
      <c r="N84" s="38">
        <f>M84</f>
        <v>9075.3</v>
      </c>
      <c r="O84" s="76"/>
      <c r="P84" s="3"/>
    </row>
    <row r="85" spans="1:16" ht="15" customHeight="1">
      <c r="A85" s="101"/>
      <c r="B85" s="104"/>
      <c r="C85" s="87" t="s">
        <v>85</v>
      </c>
      <c r="D85" s="35" t="s">
        <v>14</v>
      </c>
      <c r="E85" s="40">
        <f>G85+I85+K85+M85</f>
        <v>22904.724000000002</v>
      </c>
      <c r="F85" s="40">
        <f t="shared" si="33"/>
        <v>22362.424</v>
      </c>
      <c r="G85" s="41">
        <f>H85+542.3</f>
        <v>10458.4</v>
      </c>
      <c r="H85" s="41">
        <f>9812.6+103.5</f>
        <v>9916.1</v>
      </c>
      <c r="I85" s="41"/>
      <c r="J85" s="41">
        <v>0</v>
      </c>
      <c r="K85" s="41">
        <f>L85</f>
        <v>2868.424</v>
      </c>
      <c r="L85" s="41">
        <f>2868.424</f>
        <v>2868.424</v>
      </c>
      <c r="M85" s="41">
        <f>9577.9-M92</f>
        <v>9577.9</v>
      </c>
      <c r="N85" s="41">
        <f>M85</f>
        <v>9577.9</v>
      </c>
      <c r="O85" s="76"/>
      <c r="P85" s="3"/>
    </row>
    <row r="86" spans="1:16" s="43" customFormat="1" ht="15.75">
      <c r="A86" s="101"/>
      <c r="B86" s="104"/>
      <c r="C86" s="88"/>
      <c r="D86" s="18" t="s">
        <v>15</v>
      </c>
      <c r="E86" s="37">
        <f>G86+I86+K86+M86</f>
        <v>22026.824</v>
      </c>
      <c r="F86" s="37">
        <f t="shared" si="33"/>
        <v>16603.3</v>
      </c>
      <c r="G86" s="38">
        <f>G85</f>
        <v>10458.4</v>
      </c>
      <c r="H86" s="38">
        <v>7879.6</v>
      </c>
      <c r="I86" s="38"/>
      <c r="J86" s="38">
        <v>0</v>
      </c>
      <c r="K86" s="38">
        <f>K85</f>
        <v>2868.424</v>
      </c>
      <c r="L86" s="38">
        <v>23.7</v>
      </c>
      <c r="M86" s="38">
        <v>8700</v>
      </c>
      <c r="N86" s="38">
        <f>M86</f>
        <v>8700</v>
      </c>
      <c r="O86" s="76"/>
      <c r="P86" s="42"/>
    </row>
    <row r="87" spans="1:16" ht="15.75">
      <c r="A87" s="101"/>
      <c r="B87" s="104"/>
      <c r="C87" s="88"/>
      <c r="D87" s="18" t="s">
        <v>16</v>
      </c>
      <c r="E87" s="37">
        <f>G87+I87+K87+M87</f>
        <v>22026.824</v>
      </c>
      <c r="F87" s="37">
        <f t="shared" si="33"/>
        <v>16603.3</v>
      </c>
      <c r="G87" s="38">
        <f>G86</f>
        <v>10458.4</v>
      </c>
      <c r="H87" s="38">
        <v>7879.6</v>
      </c>
      <c r="I87" s="38"/>
      <c r="J87" s="38">
        <v>0</v>
      </c>
      <c r="K87" s="38">
        <f>K86</f>
        <v>2868.424</v>
      </c>
      <c r="L87" s="38">
        <v>23.7</v>
      </c>
      <c r="M87" s="38">
        <f>8700-M94</f>
        <v>8700</v>
      </c>
      <c r="N87" s="38">
        <f>M87</f>
        <v>8700</v>
      </c>
      <c r="O87" s="76"/>
      <c r="P87" s="3"/>
    </row>
    <row r="88" spans="1:16" ht="15.75">
      <c r="A88" s="101"/>
      <c r="B88" s="104"/>
      <c r="C88" s="89"/>
      <c r="D88" s="18" t="s">
        <v>17</v>
      </c>
      <c r="E88" s="37">
        <f t="shared" si="33"/>
        <v>22026.824</v>
      </c>
      <c r="F88" s="37">
        <f t="shared" si="33"/>
        <v>0</v>
      </c>
      <c r="G88" s="38">
        <f>G87</f>
        <v>10458.4</v>
      </c>
      <c r="H88" s="38">
        <v>0</v>
      </c>
      <c r="I88" s="38"/>
      <c r="J88" s="38">
        <v>0</v>
      </c>
      <c r="K88" s="38">
        <f>K87</f>
        <v>2868.424</v>
      </c>
      <c r="L88" s="38">
        <v>0</v>
      </c>
      <c r="M88" s="38">
        <f>M87</f>
        <v>8700</v>
      </c>
      <c r="N88" s="38"/>
      <c r="O88" s="76"/>
      <c r="P88" s="3"/>
    </row>
    <row r="89" spans="1:16" s="13" customFormat="1" ht="15.75">
      <c r="A89" s="101"/>
      <c r="B89" s="57" t="s">
        <v>44</v>
      </c>
      <c r="C89" s="87" t="s">
        <v>66</v>
      </c>
      <c r="D89" s="19" t="s">
        <v>11</v>
      </c>
      <c r="E89" s="37">
        <f>SUM(E90:E95)</f>
        <v>220</v>
      </c>
      <c r="F89" s="37">
        <f>SUM(F90:F95)</f>
        <v>0</v>
      </c>
      <c r="G89" s="37">
        <f aca="true" t="shared" si="34" ref="G89:L89">SUM(G90:G95)</f>
        <v>220</v>
      </c>
      <c r="H89" s="37">
        <f>SUM(H90:H95)</f>
        <v>0</v>
      </c>
      <c r="I89" s="37">
        <f t="shared" si="34"/>
        <v>0</v>
      </c>
      <c r="J89" s="37">
        <f t="shared" si="34"/>
        <v>0</v>
      </c>
      <c r="K89" s="37">
        <f t="shared" si="34"/>
        <v>0</v>
      </c>
      <c r="L89" s="37">
        <f t="shared" si="34"/>
        <v>0</v>
      </c>
      <c r="M89" s="37">
        <f>SUM(M90:M95)</f>
        <v>0</v>
      </c>
      <c r="N89" s="37">
        <f>SUM(N90:N95)</f>
        <v>0</v>
      </c>
      <c r="O89" s="76"/>
      <c r="P89" s="3"/>
    </row>
    <row r="90" spans="1:16" s="14" customFormat="1" ht="87.75" customHeight="1">
      <c r="A90" s="101"/>
      <c r="B90" s="58"/>
      <c r="C90" s="88"/>
      <c r="D90" s="18" t="s">
        <v>12</v>
      </c>
      <c r="E90" s="37">
        <f>G90+I90+K90+M90</f>
        <v>220</v>
      </c>
      <c r="F90" s="37">
        <f>H90+J90+L90+N90</f>
        <v>0</v>
      </c>
      <c r="G90" s="38">
        <v>220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f>M90</f>
        <v>0</v>
      </c>
      <c r="O90" s="76"/>
      <c r="P90" s="1"/>
    </row>
    <row r="91" spans="1:16" ht="75.75" customHeight="1">
      <c r="A91" s="101"/>
      <c r="B91" s="58"/>
      <c r="C91" s="88"/>
      <c r="D91" s="18" t="s">
        <v>13</v>
      </c>
      <c r="E91" s="78" t="s">
        <v>60</v>
      </c>
      <c r="F91" s="79"/>
      <c r="G91" s="79"/>
      <c r="H91" s="79"/>
      <c r="I91" s="79"/>
      <c r="J91" s="79"/>
      <c r="K91" s="79"/>
      <c r="L91" s="79"/>
      <c r="M91" s="79"/>
      <c r="N91" s="80"/>
      <c r="O91" s="76"/>
      <c r="P91" s="3"/>
    </row>
    <row r="92" spans="1:16" ht="15.75" hidden="1">
      <c r="A92" s="101"/>
      <c r="B92" s="58"/>
      <c r="C92" s="26"/>
      <c r="D92" s="18" t="s">
        <v>14</v>
      </c>
      <c r="E92" s="81"/>
      <c r="F92" s="82"/>
      <c r="G92" s="82"/>
      <c r="H92" s="82"/>
      <c r="I92" s="82"/>
      <c r="J92" s="82"/>
      <c r="K92" s="82"/>
      <c r="L92" s="82"/>
      <c r="M92" s="82"/>
      <c r="N92" s="83"/>
      <c r="O92" s="76"/>
      <c r="P92" s="3"/>
    </row>
    <row r="93" spans="1:16" ht="15.75" hidden="1">
      <c r="A93" s="101"/>
      <c r="B93" s="58"/>
      <c r="C93" s="26"/>
      <c r="D93" s="18" t="s">
        <v>15</v>
      </c>
      <c r="E93" s="81"/>
      <c r="F93" s="82"/>
      <c r="G93" s="82"/>
      <c r="H93" s="82"/>
      <c r="I93" s="82"/>
      <c r="J93" s="82"/>
      <c r="K93" s="82"/>
      <c r="L93" s="82"/>
      <c r="M93" s="82"/>
      <c r="N93" s="83"/>
      <c r="O93" s="76"/>
      <c r="P93" s="3"/>
    </row>
    <row r="94" spans="1:16" ht="15.75" hidden="1">
      <c r="A94" s="101"/>
      <c r="B94" s="58"/>
      <c r="C94" s="26"/>
      <c r="D94" s="18" t="s">
        <v>16</v>
      </c>
      <c r="E94" s="81"/>
      <c r="F94" s="82"/>
      <c r="G94" s="82"/>
      <c r="H94" s="82"/>
      <c r="I94" s="82"/>
      <c r="J94" s="82"/>
      <c r="K94" s="82"/>
      <c r="L94" s="82"/>
      <c r="M94" s="82"/>
      <c r="N94" s="83"/>
      <c r="O94" s="76"/>
      <c r="P94" s="3"/>
    </row>
    <row r="95" spans="1:16" ht="15.75" hidden="1">
      <c r="A95" s="102"/>
      <c r="B95" s="59"/>
      <c r="C95" s="25"/>
      <c r="D95" s="18" t="s">
        <v>17</v>
      </c>
      <c r="E95" s="84"/>
      <c r="F95" s="85"/>
      <c r="G95" s="85"/>
      <c r="H95" s="85"/>
      <c r="I95" s="85"/>
      <c r="J95" s="85"/>
      <c r="K95" s="85"/>
      <c r="L95" s="85"/>
      <c r="M95" s="85"/>
      <c r="N95" s="86"/>
      <c r="O95" s="77"/>
      <c r="P95" s="3"/>
    </row>
    <row r="96" spans="1:16" ht="15.75">
      <c r="A96" s="22"/>
      <c r="B96" s="70" t="s">
        <v>61</v>
      </c>
      <c r="C96" s="63" t="s">
        <v>66</v>
      </c>
      <c r="D96" s="18" t="s">
        <v>11</v>
      </c>
      <c r="E96" s="37">
        <f>SUM(E97:E102)</f>
        <v>0</v>
      </c>
      <c r="F96" s="37">
        <f aca="true" t="shared" si="35" ref="F96:N96">SUM(F97:F102)</f>
        <v>0</v>
      </c>
      <c r="G96" s="37">
        <f t="shared" si="35"/>
        <v>0</v>
      </c>
      <c r="H96" s="37">
        <f t="shared" si="35"/>
        <v>0</v>
      </c>
      <c r="I96" s="37">
        <f t="shared" si="35"/>
        <v>0</v>
      </c>
      <c r="J96" s="37">
        <f t="shared" si="35"/>
        <v>0</v>
      </c>
      <c r="K96" s="37">
        <f t="shared" si="35"/>
        <v>0</v>
      </c>
      <c r="L96" s="37">
        <f t="shared" si="35"/>
        <v>0</v>
      </c>
      <c r="M96" s="37">
        <f t="shared" si="35"/>
        <v>0</v>
      </c>
      <c r="N96" s="37">
        <f t="shared" si="35"/>
        <v>0</v>
      </c>
      <c r="O96" s="23"/>
      <c r="P96" s="3"/>
    </row>
    <row r="97" spans="1:16" s="2" customFormat="1" ht="15.75">
      <c r="A97" s="22"/>
      <c r="B97" s="71"/>
      <c r="C97" s="27"/>
      <c r="D97" s="18" t="s">
        <v>12</v>
      </c>
      <c r="E97" s="37">
        <f aca="true" t="shared" si="36" ref="E97:E102">G97+I97+K97+M97</f>
        <v>0</v>
      </c>
      <c r="F97" s="37">
        <f aca="true" t="shared" si="37" ref="F97:F102">H97+J97+L97+N97</f>
        <v>0</v>
      </c>
      <c r="G97" s="38"/>
      <c r="H97" s="38"/>
      <c r="I97" s="38"/>
      <c r="J97" s="38"/>
      <c r="K97" s="38"/>
      <c r="L97" s="38"/>
      <c r="M97" s="38"/>
      <c r="N97" s="38"/>
      <c r="O97" s="23"/>
      <c r="P97" s="3"/>
    </row>
    <row r="98" spans="1:16" ht="15.75">
      <c r="A98" s="22"/>
      <c r="B98" s="71"/>
      <c r="C98" s="27"/>
      <c r="D98" s="18" t="s">
        <v>13</v>
      </c>
      <c r="E98" s="37">
        <f t="shared" si="36"/>
        <v>0</v>
      </c>
      <c r="F98" s="37">
        <f t="shared" si="37"/>
        <v>0</v>
      </c>
      <c r="G98" s="38"/>
      <c r="H98" s="38">
        <v>0</v>
      </c>
      <c r="I98" s="38"/>
      <c r="J98" s="38"/>
      <c r="K98" s="38"/>
      <c r="L98" s="38"/>
      <c r="M98" s="38"/>
      <c r="N98" s="38"/>
      <c r="O98" s="23"/>
      <c r="P98" s="3"/>
    </row>
    <row r="99" spans="1:16" ht="15.75">
      <c r="A99" s="22"/>
      <c r="B99" s="71"/>
      <c r="C99" s="27"/>
      <c r="D99" s="18" t="s">
        <v>14</v>
      </c>
      <c r="E99" s="37">
        <f t="shared" si="36"/>
        <v>0</v>
      </c>
      <c r="F99" s="37">
        <f t="shared" si="37"/>
        <v>0</v>
      </c>
      <c r="G99" s="38">
        <f>H99</f>
        <v>0</v>
      </c>
      <c r="H99" s="38">
        <v>0</v>
      </c>
      <c r="I99" s="38"/>
      <c r="J99" s="38"/>
      <c r="K99" s="38"/>
      <c r="L99" s="38"/>
      <c r="M99" s="38"/>
      <c r="N99" s="38"/>
      <c r="O99" s="23"/>
      <c r="P99" s="3"/>
    </row>
    <row r="100" spans="1:16" ht="15.75">
      <c r="A100" s="22"/>
      <c r="B100" s="71"/>
      <c r="C100" s="27"/>
      <c r="D100" s="18" t="s">
        <v>15</v>
      </c>
      <c r="E100" s="37">
        <f t="shared" si="36"/>
        <v>0</v>
      </c>
      <c r="F100" s="37">
        <f t="shared" si="37"/>
        <v>0</v>
      </c>
      <c r="G100" s="38">
        <f>G99</f>
        <v>0</v>
      </c>
      <c r="H100" s="38">
        <v>0</v>
      </c>
      <c r="I100" s="38"/>
      <c r="J100" s="38"/>
      <c r="K100" s="38"/>
      <c r="L100" s="38"/>
      <c r="M100" s="38"/>
      <c r="N100" s="38"/>
      <c r="O100" s="23"/>
      <c r="P100" s="3"/>
    </row>
    <row r="101" spans="1:16" ht="15.75">
      <c r="A101" s="22"/>
      <c r="B101" s="71"/>
      <c r="C101" s="27"/>
      <c r="D101" s="18" t="s">
        <v>16</v>
      </c>
      <c r="E101" s="37">
        <f t="shared" si="36"/>
        <v>0</v>
      </c>
      <c r="F101" s="37">
        <f t="shared" si="37"/>
        <v>0</v>
      </c>
      <c r="G101" s="38">
        <f>G100</f>
        <v>0</v>
      </c>
      <c r="H101" s="38">
        <v>0</v>
      </c>
      <c r="I101" s="38"/>
      <c r="J101" s="38"/>
      <c r="K101" s="38"/>
      <c r="L101" s="38"/>
      <c r="M101" s="38"/>
      <c r="N101" s="38"/>
      <c r="O101" s="23"/>
      <c r="P101" s="3"/>
    </row>
    <row r="102" spans="1:16" ht="15.75">
      <c r="A102" s="22"/>
      <c r="B102" s="72"/>
      <c r="C102" s="28"/>
      <c r="D102" s="18" t="s">
        <v>17</v>
      </c>
      <c r="E102" s="37">
        <f t="shared" si="36"/>
        <v>0</v>
      </c>
      <c r="F102" s="37">
        <f t="shared" si="37"/>
        <v>0</v>
      </c>
      <c r="G102" s="38"/>
      <c r="H102" s="38">
        <v>0</v>
      </c>
      <c r="I102" s="38"/>
      <c r="J102" s="38"/>
      <c r="K102" s="38"/>
      <c r="L102" s="38"/>
      <c r="M102" s="38"/>
      <c r="N102" s="38"/>
      <c r="O102" s="23"/>
      <c r="P102" s="3"/>
    </row>
    <row r="103" spans="1:16" ht="18" customHeight="1">
      <c r="A103" s="87" t="s">
        <v>19</v>
      </c>
      <c r="B103" s="21" t="s">
        <v>51</v>
      </c>
      <c r="C103" s="19"/>
      <c r="D103" s="19" t="s">
        <v>11</v>
      </c>
      <c r="E103" s="44">
        <f>SUM(E104:E109)</f>
        <v>1166338.44</v>
      </c>
      <c r="F103" s="44">
        <f aca="true" t="shared" si="38" ref="F103:N103">SUM(F104:F109)</f>
        <v>846349.7999999999</v>
      </c>
      <c r="G103" s="44">
        <f>SUM(G104:G109)</f>
        <v>740308.64</v>
      </c>
      <c r="H103" s="44">
        <f t="shared" si="38"/>
        <v>531743.5</v>
      </c>
      <c r="I103" s="44">
        <f t="shared" si="38"/>
        <v>7500</v>
      </c>
      <c r="J103" s="44">
        <f t="shared" si="38"/>
        <v>0</v>
      </c>
      <c r="K103" s="44">
        <f t="shared" si="38"/>
        <v>207378.99999999997</v>
      </c>
      <c r="L103" s="44">
        <f t="shared" si="38"/>
        <v>135959.80000000002</v>
      </c>
      <c r="M103" s="44">
        <f t="shared" si="38"/>
        <v>211150.79999999996</v>
      </c>
      <c r="N103" s="44">
        <f t="shared" si="38"/>
        <v>178646.49999999997</v>
      </c>
      <c r="O103" s="75" t="s">
        <v>39</v>
      </c>
      <c r="P103" s="3"/>
    </row>
    <row r="104" spans="1:16" s="13" customFormat="1" ht="31.5" customHeight="1">
      <c r="A104" s="88"/>
      <c r="B104" s="105" t="s">
        <v>76</v>
      </c>
      <c r="C104" s="19" t="s">
        <v>91</v>
      </c>
      <c r="D104" s="19" t="s">
        <v>12</v>
      </c>
      <c r="E104" s="44">
        <f aca="true" t="shared" si="39" ref="E104:F109">G104+I104+K104+M104</f>
        <v>180341.6</v>
      </c>
      <c r="F104" s="44">
        <f t="shared" si="39"/>
        <v>162018.30000000002</v>
      </c>
      <c r="G104" s="44">
        <f aca="true" t="shared" si="40" ref="G104:H109">G111+G132+G118+G125+G139+G146+G153+G160</f>
        <v>116756.20000000001</v>
      </c>
      <c r="H104" s="44">
        <f t="shared" si="40"/>
        <v>104347.90000000001</v>
      </c>
      <c r="I104" s="44">
        <f aca="true" t="shared" si="41" ref="I104:N104">I111+I132+I118+I125+I139+I146+I153+I160</f>
        <v>2500</v>
      </c>
      <c r="J104" s="44">
        <f t="shared" si="41"/>
        <v>0</v>
      </c>
      <c r="K104" s="44">
        <f t="shared" si="41"/>
        <v>27766.9</v>
      </c>
      <c r="L104" s="44">
        <f t="shared" si="41"/>
        <v>24351.9</v>
      </c>
      <c r="M104" s="44">
        <f t="shared" si="41"/>
        <v>33318.5</v>
      </c>
      <c r="N104" s="44">
        <f t="shared" si="41"/>
        <v>33318.5</v>
      </c>
      <c r="O104" s="76"/>
      <c r="P104" s="3"/>
    </row>
    <row r="105" spans="1:16" s="13" customFormat="1" ht="18" customHeight="1">
      <c r="A105" s="88"/>
      <c r="B105" s="105"/>
      <c r="C105" s="98" t="s">
        <v>92</v>
      </c>
      <c r="D105" s="19" t="s">
        <v>13</v>
      </c>
      <c r="E105" s="44">
        <f t="shared" si="39"/>
        <v>181324.74</v>
      </c>
      <c r="F105" s="44">
        <f>H105+J105+L105+N105</f>
        <v>173599.8</v>
      </c>
      <c r="G105" s="44">
        <f t="shared" si="40"/>
        <v>111578.54000000001</v>
      </c>
      <c r="H105" s="44">
        <f t="shared" si="40"/>
        <v>109904.6</v>
      </c>
      <c r="I105" s="44">
        <f aca="true" t="shared" si="42" ref="I105:N105">I112+I133+I119+I126+I140+I147+I154+I161</f>
        <v>2500</v>
      </c>
      <c r="J105" s="44">
        <f t="shared" si="42"/>
        <v>0</v>
      </c>
      <c r="K105" s="44">
        <f t="shared" si="42"/>
        <v>28121.9</v>
      </c>
      <c r="L105" s="44">
        <f t="shared" si="42"/>
        <v>24570.9</v>
      </c>
      <c r="M105" s="44">
        <f t="shared" si="42"/>
        <v>39124.3</v>
      </c>
      <c r="N105" s="44">
        <f t="shared" si="42"/>
        <v>39124.3</v>
      </c>
      <c r="O105" s="76"/>
      <c r="P105" s="3"/>
    </row>
    <row r="106" spans="1:16" s="13" customFormat="1" ht="18" customHeight="1">
      <c r="A106" s="88"/>
      <c r="B106" s="105"/>
      <c r="C106" s="98"/>
      <c r="D106" s="19" t="s">
        <v>14</v>
      </c>
      <c r="E106" s="44">
        <f t="shared" si="39"/>
        <v>197720.5</v>
      </c>
      <c r="F106" s="44">
        <f t="shared" si="39"/>
        <v>188559.5</v>
      </c>
      <c r="G106" s="44">
        <f t="shared" si="40"/>
        <v>113801.6</v>
      </c>
      <c r="H106" s="44">
        <f t="shared" si="40"/>
        <v>110275.6</v>
      </c>
      <c r="I106" s="44">
        <f aca="true" t="shared" si="43" ref="I106:N106">I113+I134+I120+I127+I141+I148+I155+I162</f>
        <v>2500</v>
      </c>
      <c r="J106" s="44">
        <f t="shared" si="43"/>
        <v>0</v>
      </c>
      <c r="K106" s="44">
        <f t="shared" si="43"/>
        <v>40223.799999999996</v>
      </c>
      <c r="L106" s="44">
        <f t="shared" si="43"/>
        <v>37088.799999999996</v>
      </c>
      <c r="M106" s="44">
        <f t="shared" si="43"/>
        <v>41195.1</v>
      </c>
      <c r="N106" s="44">
        <f t="shared" si="43"/>
        <v>41195.1</v>
      </c>
      <c r="O106" s="76"/>
      <c r="P106" s="3"/>
    </row>
    <row r="107" spans="1:16" s="13" customFormat="1" ht="18" customHeight="1">
      <c r="A107" s="88"/>
      <c r="B107" s="105"/>
      <c r="C107" s="98"/>
      <c r="D107" s="19" t="s">
        <v>15</v>
      </c>
      <c r="E107" s="44">
        <f t="shared" si="39"/>
        <v>202317.19999999995</v>
      </c>
      <c r="F107" s="44">
        <f t="shared" si="39"/>
        <v>161086.09999999998</v>
      </c>
      <c r="G107" s="44">
        <f t="shared" si="40"/>
        <v>132724.09999999998</v>
      </c>
      <c r="H107" s="44">
        <f t="shared" si="40"/>
        <v>103607.7</v>
      </c>
      <c r="I107" s="44">
        <f aca="true" t="shared" si="44" ref="I107:N107">I114+I135+I121+I128+I142+I149+I156+I163</f>
        <v>0</v>
      </c>
      <c r="J107" s="44">
        <f t="shared" si="44"/>
        <v>0</v>
      </c>
      <c r="K107" s="44">
        <f t="shared" si="44"/>
        <v>37088.799999999996</v>
      </c>
      <c r="L107" s="44">
        <f t="shared" si="44"/>
        <v>24974.1</v>
      </c>
      <c r="M107" s="44">
        <f t="shared" si="44"/>
        <v>32504.3</v>
      </c>
      <c r="N107" s="44">
        <f t="shared" si="44"/>
        <v>32504.3</v>
      </c>
      <c r="O107" s="76"/>
      <c r="P107" s="3"/>
    </row>
    <row r="108" spans="1:16" s="13" customFormat="1" ht="18" customHeight="1">
      <c r="A108" s="88"/>
      <c r="B108" s="105"/>
      <c r="C108" s="98"/>
      <c r="D108" s="19" t="s">
        <v>16</v>
      </c>
      <c r="E108" s="44">
        <f t="shared" si="39"/>
        <v>202317.19999999995</v>
      </c>
      <c r="F108" s="44">
        <f t="shared" si="39"/>
        <v>161086.09999999998</v>
      </c>
      <c r="G108" s="44">
        <f t="shared" si="40"/>
        <v>132724.09999999998</v>
      </c>
      <c r="H108" s="44">
        <f t="shared" si="40"/>
        <v>103607.7</v>
      </c>
      <c r="I108" s="44">
        <f aca="true" t="shared" si="45" ref="I108:N108">I115+I136+I122+I129+I143+I150+I157+I164</f>
        <v>0</v>
      </c>
      <c r="J108" s="44">
        <f t="shared" si="45"/>
        <v>0</v>
      </c>
      <c r="K108" s="44">
        <f t="shared" si="45"/>
        <v>37088.799999999996</v>
      </c>
      <c r="L108" s="44">
        <f t="shared" si="45"/>
        <v>24974.1</v>
      </c>
      <c r="M108" s="44">
        <f t="shared" si="45"/>
        <v>32504.3</v>
      </c>
      <c r="N108" s="44">
        <f t="shared" si="45"/>
        <v>32504.3</v>
      </c>
      <c r="O108" s="76"/>
      <c r="P108" s="3"/>
    </row>
    <row r="109" spans="1:16" s="13" customFormat="1" ht="18" customHeight="1">
      <c r="A109" s="88"/>
      <c r="B109" s="105"/>
      <c r="C109" s="99"/>
      <c r="D109" s="19" t="s">
        <v>17</v>
      </c>
      <c r="E109" s="44">
        <f t="shared" si="39"/>
        <v>202317.19999999995</v>
      </c>
      <c r="F109" s="44">
        <f t="shared" si="39"/>
        <v>0</v>
      </c>
      <c r="G109" s="44">
        <f t="shared" si="40"/>
        <v>132724.09999999998</v>
      </c>
      <c r="H109" s="44">
        <f t="shared" si="40"/>
        <v>0</v>
      </c>
      <c r="I109" s="44">
        <f aca="true" t="shared" si="46" ref="I109:N109">I116+I137+I123+I130+I144+I151+I158+I165</f>
        <v>0</v>
      </c>
      <c r="J109" s="44">
        <f t="shared" si="46"/>
        <v>0</v>
      </c>
      <c r="K109" s="44">
        <f t="shared" si="46"/>
        <v>37088.799999999996</v>
      </c>
      <c r="L109" s="44">
        <f t="shared" si="46"/>
        <v>0</v>
      </c>
      <c r="M109" s="44">
        <f t="shared" si="46"/>
        <v>32504.3</v>
      </c>
      <c r="N109" s="44">
        <f t="shared" si="46"/>
        <v>0</v>
      </c>
      <c r="O109" s="76"/>
      <c r="P109" s="3"/>
    </row>
    <row r="110" spans="1:16" s="13" customFormat="1" ht="15" customHeight="1">
      <c r="A110" s="88"/>
      <c r="B110" s="104" t="s">
        <v>77</v>
      </c>
      <c r="C110" s="52"/>
      <c r="D110" s="19" t="s">
        <v>11</v>
      </c>
      <c r="E110" s="37">
        <f aca="true" t="shared" si="47" ref="E110:N110">SUM(E111:E116)</f>
        <v>1116784.1099999999</v>
      </c>
      <c r="F110" s="37">
        <f t="shared" si="47"/>
        <v>840581.87</v>
      </c>
      <c r="G110" s="37">
        <f t="shared" si="47"/>
        <v>712436.14</v>
      </c>
      <c r="H110" s="37">
        <f t="shared" si="47"/>
        <v>529992.4</v>
      </c>
      <c r="I110" s="37">
        <f t="shared" si="47"/>
        <v>0</v>
      </c>
      <c r="J110" s="37">
        <f t="shared" si="47"/>
        <v>0</v>
      </c>
      <c r="K110" s="37">
        <f t="shared" si="47"/>
        <v>197693.99999999997</v>
      </c>
      <c r="L110" s="37">
        <f t="shared" si="47"/>
        <v>135959.80000000002</v>
      </c>
      <c r="M110" s="37">
        <f t="shared" si="47"/>
        <v>206653.96999999997</v>
      </c>
      <c r="N110" s="37">
        <f t="shared" si="47"/>
        <v>174629.66999999998</v>
      </c>
      <c r="O110" s="76"/>
      <c r="P110" s="3"/>
    </row>
    <row r="111" spans="1:16" s="2" customFormat="1" ht="79.5" customHeight="1">
      <c r="A111" s="88"/>
      <c r="B111" s="104"/>
      <c r="C111" s="35" t="s">
        <v>93</v>
      </c>
      <c r="D111" s="18" t="s">
        <v>12</v>
      </c>
      <c r="E111" s="37">
        <f aca="true" t="shared" si="48" ref="E111:F116">G111+I111+K111+M111</f>
        <v>164731.80000000002</v>
      </c>
      <c r="F111" s="37">
        <f t="shared" si="48"/>
        <v>160327.90000000002</v>
      </c>
      <c r="G111" s="38">
        <f>7559.8-2100+H111-1400+344.1</f>
        <v>108642.20000000001</v>
      </c>
      <c r="H111" s="38">
        <v>104238.3</v>
      </c>
      <c r="I111" s="38">
        <v>0</v>
      </c>
      <c r="J111" s="38">
        <v>0</v>
      </c>
      <c r="K111" s="38">
        <f>L111</f>
        <v>24351.9</v>
      </c>
      <c r="L111" s="38">
        <v>24351.9</v>
      </c>
      <c r="M111" s="38">
        <v>31737.7</v>
      </c>
      <c r="N111" s="38">
        <f>M111</f>
        <v>31737.7</v>
      </c>
      <c r="O111" s="76"/>
      <c r="P111" s="1"/>
    </row>
    <row r="112" spans="1:16" ht="89.25">
      <c r="A112" s="88"/>
      <c r="B112" s="104"/>
      <c r="C112" s="35" t="s">
        <v>94</v>
      </c>
      <c r="D112" s="18" t="s">
        <v>13</v>
      </c>
      <c r="E112" s="37">
        <f>G112+I112+K112+M112</f>
        <v>173705.71</v>
      </c>
      <c r="F112" s="37">
        <f>H112+J112+L112+N112</f>
        <v>171615.77</v>
      </c>
      <c r="G112" s="38">
        <f>H112+487.94+1186</f>
        <v>110218.94</v>
      </c>
      <c r="H112" s="38">
        <f>109545.8-H119-H126-H140-H147-H161+30+700+50-1496.4-1390.5-66+2531.7</f>
        <v>108545</v>
      </c>
      <c r="I112" s="38">
        <v>0</v>
      </c>
      <c r="J112" s="38">
        <v>0</v>
      </c>
      <c r="K112" s="38">
        <f>L112+416</f>
        <v>24986.9</v>
      </c>
      <c r="L112" s="38">
        <f>31823.2-121-7131.3</f>
        <v>24570.9</v>
      </c>
      <c r="M112" s="38">
        <f>39124.3-M133-M119-M126-M140-M147</f>
        <v>38499.87</v>
      </c>
      <c r="N112" s="38">
        <f>M112</f>
        <v>38499.87</v>
      </c>
      <c r="O112" s="76"/>
      <c r="P112" s="3"/>
    </row>
    <row r="113" spans="1:16" ht="15" customHeight="1">
      <c r="A113" s="88"/>
      <c r="B113" s="104"/>
      <c r="C113" s="95" t="s">
        <v>95</v>
      </c>
      <c r="D113" s="35" t="s">
        <v>14</v>
      </c>
      <c r="E113" s="40">
        <f t="shared" si="48"/>
        <v>190853</v>
      </c>
      <c r="F113" s="40">
        <f t="shared" si="48"/>
        <v>187426</v>
      </c>
      <c r="G113" s="41">
        <f>H113+3427</f>
        <v>113420.7</v>
      </c>
      <c r="H113" s="41">
        <f>110093.1-H120-H127-H162+96.5+86</f>
        <v>109993.7</v>
      </c>
      <c r="I113" s="41">
        <v>0</v>
      </c>
      <c r="J113" s="41">
        <v>0</v>
      </c>
      <c r="K113" s="41">
        <f>L113</f>
        <v>37088.799999999996</v>
      </c>
      <c r="L113" s="41">
        <f>75318.7-36741.8-1488.1</f>
        <v>37088.799999999996</v>
      </c>
      <c r="M113" s="41">
        <f>41195.1-M134-M120-M127-M141-M148</f>
        <v>40343.5</v>
      </c>
      <c r="N113" s="41">
        <f>M113</f>
        <v>40343.5</v>
      </c>
      <c r="O113" s="76"/>
      <c r="P113" s="3"/>
    </row>
    <row r="114" spans="1:16" s="43" customFormat="1" ht="29.25" customHeight="1">
      <c r="A114" s="88"/>
      <c r="B114" s="104"/>
      <c r="C114" s="96"/>
      <c r="D114" s="18" t="s">
        <v>15</v>
      </c>
      <c r="E114" s="37">
        <f t="shared" si="48"/>
        <v>195831.19999999998</v>
      </c>
      <c r="F114" s="37">
        <f>H114+J114+L114+N114</f>
        <v>160606.09999999998</v>
      </c>
      <c r="G114" s="38">
        <f>G113+13297.4</f>
        <v>126718.09999999999</v>
      </c>
      <c r="H114" s="38">
        <f>103607.7</f>
        <v>103607.7</v>
      </c>
      <c r="I114" s="38">
        <v>0</v>
      </c>
      <c r="J114" s="38">
        <v>0</v>
      </c>
      <c r="K114" s="38">
        <f>K113</f>
        <v>37088.799999999996</v>
      </c>
      <c r="L114" s="38">
        <v>24974.1</v>
      </c>
      <c r="M114" s="38">
        <f>32504.3-M135-M121-M128-M142-M149</f>
        <v>32024.3</v>
      </c>
      <c r="N114" s="38">
        <f>M114</f>
        <v>32024.3</v>
      </c>
      <c r="O114" s="76"/>
      <c r="P114" s="42"/>
    </row>
    <row r="115" spans="1:16" ht="27.75" customHeight="1">
      <c r="A115" s="88"/>
      <c r="B115" s="104"/>
      <c r="C115" s="96"/>
      <c r="D115" s="18" t="s">
        <v>16</v>
      </c>
      <c r="E115" s="37">
        <f t="shared" si="48"/>
        <v>195831.19999999998</v>
      </c>
      <c r="F115" s="37">
        <f t="shared" si="48"/>
        <v>160606.09999999998</v>
      </c>
      <c r="G115" s="38">
        <f>G114</f>
        <v>126718.09999999999</v>
      </c>
      <c r="H115" s="38">
        <f>103607.7</f>
        <v>103607.7</v>
      </c>
      <c r="I115" s="38">
        <v>0</v>
      </c>
      <c r="J115" s="38">
        <v>0</v>
      </c>
      <c r="K115" s="38">
        <f>K114</f>
        <v>37088.799999999996</v>
      </c>
      <c r="L115" s="38">
        <v>24974.1</v>
      </c>
      <c r="M115" s="38">
        <f>32504.3-M136-M122-M129-M143-M150</f>
        <v>32024.3</v>
      </c>
      <c r="N115" s="38">
        <f>M115</f>
        <v>32024.3</v>
      </c>
      <c r="O115" s="76"/>
      <c r="P115" s="3"/>
    </row>
    <row r="116" spans="1:16" ht="16.5" customHeight="1">
      <c r="A116" s="88"/>
      <c r="B116" s="104"/>
      <c r="C116" s="97"/>
      <c r="D116" s="18" t="s">
        <v>17</v>
      </c>
      <c r="E116" s="37">
        <f t="shared" si="48"/>
        <v>195831.19999999998</v>
      </c>
      <c r="F116" s="37">
        <f t="shared" si="48"/>
        <v>0</v>
      </c>
      <c r="G116" s="38">
        <f>G115</f>
        <v>126718.09999999999</v>
      </c>
      <c r="H116" s="38">
        <v>0</v>
      </c>
      <c r="I116" s="38">
        <v>0</v>
      </c>
      <c r="J116" s="38">
        <v>0</v>
      </c>
      <c r="K116" s="38">
        <f>K115</f>
        <v>37088.799999999996</v>
      </c>
      <c r="L116" s="38">
        <v>0</v>
      </c>
      <c r="M116" s="38">
        <f>M115</f>
        <v>32024.3</v>
      </c>
      <c r="N116" s="38"/>
      <c r="O116" s="76"/>
      <c r="P116" s="3"/>
    </row>
    <row r="117" spans="1:16" s="13" customFormat="1" ht="15.75" customHeight="1">
      <c r="A117" s="88"/>
      <c r="B117" s="104" t="s">
        <v>70</v>
      </c>
      <c r="C117" s="7"/>
      <c r="D117" s="19" t="s">
        <v>11</v>
      </c>
      <c r="E117" s="37">
        <f>SUM(E118:E123)</f>
        <v>39209.130000000005</v>
      </c>
      <c r="F117" s="37">
        <f aca="true" t="shared" si="49" ref="F117:N117">SUM(F118:F123)</f>
        <v>2487.13</v>
      </c>
      <c r="G117" s="37">
        <f t="shared" si="49"/>
        <v>19896.6</v>
      </c>
      <c r="H117" s="37">
        <f t="shared" si="49"/>
        <v>279.6</v>
      </c>
      <c r="I117" s="37">
        <f t="shared" si="49"/>
        <v>7500</v>
      </c>
      <c r="J117" s="37">
        <f t="shared" si="49"/>
        <v>0</v>
      </c>
      <c r="K117" s="37">
        <f t="shared" si="49"/>
        <v>9305</v>
      </c>
      <c r="L117" s="37">
        <f t="shared" si="49"/>
        <v>0</v>
      </c>
      <c r="M117" s="37">
        <f t="shared" si="49"/>
        <v>2507.5299999999997</v>
      </c>
      <c r="N117" s="37">
        <f t="shared" si="49"/>
        <v>2207.5299999999997</v>
      </c>
      <c r="O117" s="76"/>
      <c r="P117" s="3"/>
    </row>
    <row r="118" spans="1:16" s="2" customFormat="1" ht="40.5" customHeight="1">
      <c r="A118" s="88"/>
      <c r="B118" s="104"/>
      <c r="C118" s="18" t="s">
        <v>96</v>
      </c>
      <c r="D118" s="18" t="s">
        <v>12</v>
      </c>
      <c r="E118" s="37">
        <f aca="true" t="shared" si="50" ref="E118:E123">G118+I118+K118+M118</f>
        <v>10633</v>
      </c>
      <c r="F118" s="37">
        <f aca="true" t="shared" si="51" ref="F118:F123">H118+J118+L118+N118</f>
        <v>580</v>
      </c>
      <c r="G118" s="38">
        <f>418+4100+H118</f>
        <v>4598</v>
      </c>
      <c r="H118" s="38">
        <v>80</v>
      </c>
      <c r="I118" s="38">
        <v>2500</v>
      </c>
      <c r="J118" s="38">
        <v>0</v>
      </c>
      <c r="K118" s="38">
        <v>3035</v>
      </c>
      <c r="L118" s="38">
        <v>0</v>
      </c>
      <c r="M118" s="38">
        <v>500</v>
      </c>
      <c r="N118" s="38">
        <f>M118</f>
        <v>500</v>
      </c>
      <c r="O118" s="76"/>
      <c r="P118" s="1"/>
    </row>
    <row r="119" spans="1:16" ht="38.25" customHeight="1">
      <c r="A119" s="88"/>
      <c r="B119" s="104"/>
      <c r="C119" s="87" t="s">
        <v>78</v>
      </c>
      <c r="D119" s="18" t="s">
        <v>13</v>
      </c>
      <c r="E119" s="37">
        <f t="shared" si="50"/>
        <v>6202.13</v>
      </c>
      <c r="F119" s="37">
        <f t="shared" si="51"/>
        <v>567.13</v>
      </c>
      <c r="G119" s="38">
        <f>H119</f>
        <v>100</v>
      </c>
      <c r="H119" s="38">
        <v>100</v>
      </c>
      <c r="I119" s="38">
        <v>2500</v>
      </c>
      <c r="J119" s="38">
        <v>0</v>
      </c>
      <c r="K119" s="38">
        <v>3135</v>
      </c>
      <c r="L119" s="38">
        <v>0</v>
      </c>
      <c r="M119" s="38">
        <v>467.13</v>
      </c>
      <c r="N119" s="38">
        <f>M119</f>
        <v>467.13</v>
      </c>
      <c r="O119" s="76"/>
      <c r="P119" s="3"/>
    </row>
    <row r="120" spans="1:16" ht="15" customHeight="1">
      <c r="A120" s="88"/>
      <c r="B120" s="104"/>
      <c r="C120" s="88"/>
      <c r="D120" s="18" t="s">
        <v>14</v>
      </c>
      <c r="E120" s="37">
        <f t="shared" si="50"/>
        <v>6474</v>
      </c>
      <c r="F120" s="37">
        <f t="shared" si="51"/>
        <v>740</v>
      </c>
      <c r="G120" s="38">
        <f>H120+99</f>
        <v>198.6</v>
      </c>
      <c r="H120" s="38">
        <v>99.6</v>
      </c>
      <c r="I120" s="38">
        <v>2500</v>
      </c>
      <c r="J120" s="38">
        <v>0</v>
      </c>
      <c r="K120" s="38">
        <v>3135</v>
      </c>
      <c r="L120" s="38">
        <v>0</v>
      </c>
      <c r="M120" s="38">
        <v>640.4</v>
      </c>
      <c r="N120" s="38">
        <f>M120</f>
        <v>640.4</v>
      </c>
      <c r="O120" s="76"/>
      <c r="P120" s="3"/>
    </row>
    <row r="121" spans="1:16" ht="15.75">
      <c r="A121" s="88"/>
      <c r="B121" s="104"/>
      <c r="C121" s="88"/>
      <c r="D121" s="18" t="s">
        <v>15</v>
      </c>
      <c r="E121" s="37">
        <f t="shared" si="50"/>
        <v>5300</v>
      </c>
      <c r="F121" s="37">
        <f t="shared" si="51"/>
        <v>300</v>
      </c>
      <c r="G121" s="38">
        <v>5000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300</v>
      </c>
      <c r="N121" s="38">
        <f>M121</f>
        <v>300</v>
      </c>
      <c r="O121" s="76"/>
      <c r="P121" s="3"/>
    </row>
    <row r="122" spans="1:16" ht="15.75">
      <c r="A122" s="88"/>
      <c r="B122" s="104"/>
      <c r="C122" s="88"/>
      <c r="D122" s="18" t="s">
        <v>16</v>
      </c>
      <c r="E122" s="37">
        <f t="shared" si="50"/>
        <v>5300</v>
      </c>
      <c r="F122" s="37">
        <f t="shared" si="51"/>
        <v>300</v>
      </c>
      <c r="G122" s="38">
        <v>5000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300</v>
      </c>
      <c r="N122" s="38">
        <f>M122</f>
        <v>300</v>
      </c>
      <c r="O122" s="76"/>
      <c r="P122" s="3"/>
    </row>
    <row r="123" spans="1:16" ht="15.75">
      <c r="A123" s="88"/>
      <c r="B123" s="104"/>
      <c r="C123" s="89"/>
      <c r="D123" s="18" t="s">
        <v>17</v>
      </c>
      <c r="E123" s="37">
        <f t="shared" si="50"/>
        <v>5300</v>
      </c>
      <c r="F123" s="37">
        <f t="shared" si="51"/>
        <v>0</v>
      </c>
      <c r="G123" s="38">
        <v>5000</v>
      </c>
      <c r="H123" s="38"/>
      <c r="I123" s="38">
        <v>0</v>
      </c>
      <c r="J123" s="38">
        <v>0</v>
      </c>
      <c r="K123" s="38">
        <v>0</v>
      </c>
      <c r="L123" s="38">
        <v>0</v>
      </c>
      <c r="M123" s="38">
        <v>300</v>
      </c>
      <c r="N123" s="38"/>
      <c r="O123" s="76"/>
      <c r="P123" s="3"/>
    </row>
    <row r="124" spans="1:16" ht="15.75" customHeight="1">
      <c r="A124" s="88"/>
      <c r="B124" s="104" t="s">
        <v>71</v>
      </c>
      <c r="D124" s="18" t="s">
        <v>11</v>
      </c>
      <c r="E124" s="37">
        <f>SUM(E125:E130)</f>
        <v>4404.4</v>
      </c>
      <c r="F124" s="37">
        <f aca="true" t="shared" si="52" ref="F124:N124">SUM(F125:F130)</f>
        <v>1084.4</v>
      </c>
      <c r="G124" s="38">
        <f t="shared" si="52"/>
        <v>3315.9</v>
      </c>
      <c r="H124" s="38">
        <f t="shared" si="52"/>
        <v>175.89999999999998</v>
      </c>
      <c r="I124" s="38">
        <f t="shared" si="52"/>
        <v>0</v>
      </c>
      <c r="J124" s="38">
        <f t="shared" si="52"/>
        <v>0</v>
      </c>
      <c r="K124" s="38">
        <f t="shared" si="52"/>
        <v>0</v>
      </c>
      <c r="L124" s="38">
        <f t="shared" si="52"/>
        <v>0</v>
      </c>
      <c r="M124" s="38">
        <f t="shared" si="52"/>
        <v>1088.5</v>
      </c>
      <c r="N124" s="38">
        <f t="shared" si="52"/>
        <v>908.5</v>
      </c>
      <c r="O124" s="76"/>
      <c r="P124" s="3"/>
    </row>
    <row r="125" spans="1:16" s="2" customFormat="1" ht="43.5" customHeight="1">
      <c r="A125" s="88"/>
      <c r="B125" s="104"/>
      <c r="C125" s="18" t="s">
        <v>96</v>
      </c>
      <c r="D125" s="18" t="s">
        <v>12</v>
      </c>
      <c r="E125" s="37">
        <f aca="true" t="shared" si="53" ref="E125:E130">G125+I125+K125+M125</f>
        <v>620</v>
      </c>
      <c r="F125" s="37">
        <f aca="true" t="shared" si="54" ref="F125:F130">H125+J125+L125+N125</f>
        <v>180</v>
      </c>
      <c r="G125" s="38">
        <f>440+H125</f>
        <v>440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180</v>
      </c>
      <c r="N125" s="38">
        <f>M125</f>
        <v>180</v>
      </c>
      <c r="O125" s="76"/>
      <c r="P125" s="1"/>
    </row>
    <row r="126" spans="1:16" ht="15" customHeight="1">
      <c r="A126" s="88"/>
      <c r="B126" s="104"/>
      <c r="C126" s="87" t="s">
        <v>79</v>
      </c>
      <c r="D126" s="18" t="s">
        <v>13</v>
      </c>
      <c r="E126" s="37">
        <f t="shared" si="53"/>
        <v>256.9</v>
      </c>
      <c r="F126" s="37">
        <f t="shared" si="54"/>
        <v>256.9</v>
      </c>
      <c r="G126" s="38">
        <f>H126</f>
        <v>99.6</v>
      </c>
      <c r="H126" s="38">
        <v>99.6</v>
      </c>
      <c r="I126" s="38">
        <v>0</v>
      </c>
      <c r="J126" s="38">
        <v>0</v>
      </c>
      <c r="K126" s="38">
        <v>0</v>
      </c>
      <c r="L126" s="38">
        <v>0</v>
      </c>
      <c r="M126" s="38">
        <v>157.3</v>
      </c>
      <c r="N126" s="38">
        <f>M126</f>
        <v>157.3</v>
      </c>
      <c r="O126" s="76"/>
      <c r="P126" s="3"/>
    </row>
    <row r="127" spans="1:16" ht="15" customHeight="1">
      <c r="A127" s="88"/>
      <c r="B127" s="104"/>
      <c r="C127" s="88"/>
      <c r="D127" s="18" t="s">
        <v>14</v>
      </c>
      <c r="E127" s="37">
        <f t="shared" si="53"/>
        <v>287.5</v>
      </c>
      <c r="F127" s="37">
        <f t="shared" si="54"/>
        <v>287.5</v>
      </c>
      <c r="G127" s="38">
        <f>H127</f>
        <v>76.3</v>
      </c>
      <c r="H127" s="41">
        <v>76.3</v>
      </c>
      <c r="I127" s="38">
        <v>0</v>
      </c>
      <c r="J127" s="38">
        <v>0</v>
      </c>
      <c r="K127" s="38">
        <v>0</v>
      </c>
      <c r="L127" s="38">
        <v>0</v>
      </c>
      <c r="M127" s="38">
        <f>N127</f>
        <v>211.2</v>
      </c>
      <c r="N127" s="38">
        <v>211.2</v>
      </c>
      <c r="O127" s="76"/>
      <c r="P127" s="3"/>
    </row>
    <row r="128" spans="1:16" ht="15.75">
      <c r="A128" s="88"/>
      <c r="B128" s="104"/>
      <c r="C128" s="88"/>
      <c r="D128" s="18" t="s">
        <v>15</v>
      </c>
      <c r="E128" s="37">
        <f t="shared" si="53"/>
        <v>1080</v>
      </c>
      <c r="F128" s="37">
        <f t="shared" si="54"/>
        <v>180</v>
      </c>
      <c r="G128" s="38">
        <v>900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180</v>
      </c>
      <c r="N128" s="38">
        <f>M128</f>
        <v>180</v>
      </c>
      <c r="O128" s="76"/>
      <c r="P128" s="3"/>
    </row>
    <row r="129" spans="1:16" ht="15.75">
      <c r="A129" s="88"/>
      <c r="B129" s="104"/>
      <c r="C129" s="88"/>
      <c r="D129" s="18" t="s">
        <v>16</v>
      </c>
      <c r="E129" s="37">
        <f t="shared" si="53"/>
        <v>1080</v>
      </c>
      <c r="F129" s="37">
        <f t="shared" si="54"/>
        <v>180</v>
      </c>
      <c r="G129" s="38">
        <v>900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180</v>
      </c>
      <c r="N129" s="38">
        <f>M129</f>
        <v>180</v>
      </c>
      <c r="O129" s="76"/>
      <c r="P129" s="3"/>
    </row>
    <row r="130" spans="1:16" ht="15.75">
      <c r="A130" s="88"/>
      <c r="B130" s="104"/>
      <c r="C130" s="89"/>
      <c r="D130" s="18" t="s">
        <v>17</v>
      </c>
      <c r="E130" s="37">
        <f t="shared" si="53"/>
        <v>1080</v>
      </c>
      <c r="F130" s="37">
        <f t="shared" si="54"/>
        <v>0</v>
      </c>
      <c r="G130" s="38">
        <v>900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180</v>
      </c>
      <c r="N130" s="38"/>
      <c r="O130" s="76"/>
      <c r="P130" s="3"/>
    </row>
    <row r="131" spans="1:16" s="13" customFormat="1" ht="15.75">
      <c r="A131" s="88"/>
      <c r="B131" s="69" t="s">
        <v>72</v>
      </c>
      <c r="C131" s="95" t="s">
        <v>66</v>
      </c>
      <c r="D131" s="19" t="s">
        <v>11</v>
      </c>
      <c r="E131" s="37">
        <f aca="true" t="shared" si="55" ref="E131:N131">SUM(E132:E137)</f>
        <v>2350</v>
      </c>
      <c r="F131" s="37">
        <f t="shared" si="55"/>
        <v>100</v>
      </c>
      <c r="G131" s="37">
        <f t="shared" si="55"/>
        <v>2250</v>
      </c>
      <c r="H131" s="37">
        <f t="shared" si="55"/>
        <v>0</v>
      </c>
      <c r="I131" s="37">
        <f t="shared" si="55"/>
        <v>0</v>
      </c>
      <c r="J131" s="37">
        <f t="shared" si="55"/>
        <v>0</v>
      </c>
      <c r="K131" s="37">
        <f t="shared" si="55"/>
        <v>0</v>
      </c>
      <c r="L131" s="37">
        <f t="shared" si="55"/>
        <v>0</v>
      </c>
      <c r="M131" s="37">
        <f t="shared" si="55"/>
        <v>100</v>
      </c>
      <c r="N131" s="37">
        <f t="shared" si="55"/>
        <v>100</v>
      </c>
      <c r="O131" s="76"/>
      <c r="P131" s="3"/>
    </row>
    <row r="132" spans="1:16" s="2" customFormat="1" ht="54.75" customHeight="1">
      <c r="A132" s="88"/>
      <c r="B132" s="69"/>
      <c r="C132" s="96"/>
      <c r="D132" s="18" t="s">
        <v>12</v>
      </c>
      <c r="E132" s="37">
        <f>G132+I132+K132+M132</f>
        <v>2350</v>
      </c>
      <c r="F132" s="37">
        <f>H132+J132+L132+N132</f>
        <v>100</v>
      </c>
      <c r="G132" s="38">
        <v>2250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100</v>
      </c>
      <c r="N132" s="38">
        <f>M132</f>
        <v>100</v>
      </c>
      <c r="O132" s="76"/>
      <c r="P132" s="1"/>
    </row>
    <row r="133" spans="1:16" ht="36" customHeight="1">
      <c r="A133" s="88"/>
      <c r="B133" s="69"/>
      <c r="C133" s="97"/>
      <c r="D133" s="18" t="s">
        <v>13</v>
      </c>
      <c r="E133" s="78" t="s">
        <v>60</v>
      </c>
      <c r="F133" s="79"/>
      <c r="G133" s="79"/>
      <c r="H133" s="79"/>
      <c r="I133" s="79"/>
      <c r="J133" s="79"/>
      <c r="K133" s="79"/>
      <c r="L133" s="79"/>
      <c r="M133" s="79"/>
      <c r="N133" s="80"/>
      <c r="O133" s="76"/>
      <c r="P133" s="3"/>
    </row>
    <row r="134" spans="1:16" ht="15.75" hidden="1">
      <c r="A134" s="88"/>
      <c r="B134" s="69"/>
      <c r="C134" s="35"/>
      <c r="D134" s="18" t="s">
        <v>14</v>
      </c>
      <c r="E134" s="81"/>
      <c r="F134" s="82"/>
      <c r="G134" s="82"/>
      <c r="H134" s="82"/>
      <c r="I134" s="82"/>
      <c r="J134" s="82"/>
      <c r="K134" s="82"/>
      <c r="L134" s="82"/>
      <c r="M134" s="82"/>
      <c r="N134" s="83"/>
      <c r="O134" s="76"/>
      <c r="P134" s="3"/>
    </row>
    <row r="135" spans="1:16" ht="15.75" hidden="1">
      <c r="A135" s="88"/>
      <c r="B135" s="69"/>
      <c r="C135" s="35"/>
      <c r="D135" s="18" t="s">
        <v>15</v>
      </c>
      <c r="E135" s="81"/>
      <c r="F135" s="82"/>
      <c r="G135" s="82"/>
      <c r="H135" s="82"/>
      <c r="I135" s="82"/>
      <c r="J135" s="82"/>
      <c r="K135" s="82"/>
      <c r="L135" s="82"/>
      <c r="M135" s="82"/>
      <c r="N135" s="83"/>
      <c r="O135" s="76"/>
      <c r="P135" s="3"/>
    </row>
    <row r="136" spans="1:16" ht="15.75" hidden="1">
      <c r="A136" s="88"/>
      <c r="B136" s="69"/>
      <c r="C136" s="35"/>
      <c r="D136" s="18" t="s">
        <v>16</v>
      </c>
      <c r="E136" s="81"/>
      <c r="F136" s="82"/>
      <c r="G136" s="82"/>
      <c r="H136" s="82"/>
      <c r="I136" s="82"/>
      <c r="J136" s="82"/>
      <c r="K136" s="82"/>
      <c r="L136" s="82"/>
      <c r="M136" s="82"/>
      <c r="N136" s="83"/>
      <c r="O136" s="76"/>
      <c r="P136" s="3"/>
    </row>
    <row r="137" spans="1:16" ht="15.75" hidden="1">
      <c r="A137" s="88"/>
      <c r="B137" s="69"/>
      <c r="C137" s="35"/>
      <c r="D137" s="18" t="s">
        <v>17</v>
      </c>
      <c r="E137" s="84"/>
      <c r="F137" s="85"/>
      <c r="G137" s="85"/>
      <c r="H137" s="85"/>
      <c r="I137" s="85"/>
      <c r="J137" s="85"/>
      <c r="K137" s="85"/>
      <c r="L137" s="85"/>
      <c r="M137" s="85"/>
      <c r="N137" s="86"/>
      <c r="O137" s="76"/>
      <c r="P137" s="3"/>
    </row>
    <row r="138" spans="1:16" s="13" customFormat="1" ht="15.75">
      <c r="A138" s="88"/>
      <c r="B138" s="104" t="s">
        <v>42</v>
      </c>
      <c r="C138" s="87" t="s">
        <v>66</v>
      </c>
      <c r="D138" s="19" t="s">
        <v>11</v>
      </c>
      <c r="E138" s="37">
        <f>SUM(E139:E144)</f>
        <v>511.8</v>
      </c>
      <c r="F138" s="37">
        <f aca="true" t="shared" si="56" ref="F138:N138">SUM(F139:F144)</f>
        <v>141.4</v>
      </c>
      <c r="G138" s="37">
        <f t="shared" si="56"/>
        <v>220</v>
      </c>
      <c r="H138" s="37">
        <f t="shared" si="56"/>
        <v>29.6</v>
      </c>
      <c r="I138" s="37">
        <f t="shared" si="56"/>
        <v>0</v>
      </c>
      <c r="J138" s="37">
        <f t="shared" si="56"/>
        <v>0</v>
      </c>
      <c r="K138" s="37">
        <f t="shared" si="56"/>
        <v>180</v>
      </c>
      <c r="L138" s="37">
        <f t="shared" si="56"/>
        <v>0</v>
      </c>
      <c r="M138" s="37">
        <f t="shared" si="56"/>
        <v>111.8</v>
      </c>
      <c r="N138" s="37">
        <f t="shared" si="56"/>
        <v>111.8</v>
      </c>
      <c r="O138" s="76"/>
      <c r="P138" s="3"/>
    </row>
    <row r="139" spans="1:16" s="2" customFormat="1" ht="57" customHeight="1">
      <c r="A139" s="88"/>
      <c r="B139" s="104"/>
      <c r="C139" s="88"/>
      <c r="D139" s="18" t="s">
        <v>12</v>
      </c>
      <c r="E139" s="37">
        <f>G139+I139+K139+M139</f>
        <v>511.8</v>
      </c>
      <c r="F139" s="37">
        <f>H139+J139+L139+N139</f>
        <v>141.4</v>
      </c>
      <c r="G139" s="38">
        <v>220</v>
      </c>
      <c r="H139" s="38">
        <v>29.6</v>
      </c>
      <c r="I139" s="38"/>
      <c r="J139" s="38"/>
      <c r="K139" s="38">
        <v>180</v>
      </c>
      <c r="L139" s="38"/>
      <c r="M139" s="38">
        <v>111.8</v>
      </c>
      <c r="N139" s="38">
        <f>M139</f>
        <v>111.8</v>
      </c>
      <c r="O139" s="76"/>
      <c r="P139" s="1"/>
    </row>
    <row r="140" spans="1:16" ht="71.25" customHeight="1">
      <c r="A140" s="88"/>
      <c r="B140" s="104"/>
      <c r="C140" s="89"/>
      <c r="D140" s="18" t="s">
        <v>13</v>
      </c>
      <c r="E140" s="78" t="s">
        <v>60</v>
      </c>
      <c r="F140" s="79"/>
      <c r="G140" s="79"/>
      <c r="H140" s="79"/>
      <c r="I140" s="79"/>
      <c r="J140" s="79"/>
      <c r="K140" s="79"/>
      <c r="L140" s="79"/>
      <c r="M140" s="79"/>
      <c r="N140" s="80"/>
      <c r="O140" s="76"/>
      <c r="P140" s="3"/>
    </row>
    <row r="141" spans="1:16" ht="15.75" hidden="1">
      <c r="A141" s="88"/>
      <c r="B141" s="104"/>
      <c r="C141" s="18"/>
      <c r="D141" s="18" t="s">
        <v>14</v>
      </c>
      <c r="E141" s="81"/>
      <c r="F141" s="82"/>
      <c r="G141" s="82"/>
      <c r="H141" s="82"/>
      <c r="I141" s="82"/>
      <c r="J141" s="82"/>
      <c r="K141" s="82"/>
      <c r="L141" s="82"/>
      <c r="M141" s="82"/>
      <c r="N141" s="83"/>
      <c r="O141" s="76"/>
      <c r="P141" s="3"/>
    </row>
    <row r="142" spans="1:16" ht="15.75" hidden="1">
      <c r="A142" s="88"/>
      <c r="B142" s="104"/>
      <c r="C142" s="18"/>
      <c r="D142" s="18" t="s">
        <v>15</v>
      </c>
      <c r="E142" s="81"/>
      <c r="F142" s="82"/>
      <c r="G142" s="82"/>
      <c r="H142" s="82"/>
      <c r="I142" s="82"/>
      <c r="J142" s="82"/>
      <c r="K142" s="82"/>
      <c r="L142" s="82"/>
      <c r="M142" s="82"/>
      <c r="N142" s="83"/>
      <c r="O142" s="76"/>
      <c r="P142" s="3"/>
    </row>
    <row r="143" spans="1:16" ht="15.75" hidden="1">
      <c r="A143" s="88"/>
      <c r="B143" s="104"/>
      <c r="C143" s="18"/>
      <c r="D143" s="18" t="s">
        <v>16</v>
      </c>
      <c r="E143" s="81"/>
      <c r="F143" s="82"/>
      <c r="G143" s="82"/>
      <c r="H143" s="82"/>
      <c r="I143" s="82"/>
      <c r="J143" s="82"/>
      <c r="K143" s="82"/>
      <c r="L143" s="82"/>
      <c r="M143" s="82"/>
      <c r="N143" s="83"/>
      <c r="O143" s="76"/>
      <c r="P143" s="3"/>
    </row>
    <row r="144" spans="1:16" ht="15.75" hidden="1">
      <c r="A144" s="88"/>
      <c r="B144" s="104"/>
      <c r="C144" s="18"/>
      <c r="D144" s="18" t="s">
        <v>17</v>
      </c>
      <c r="E144" s="84"/>
      <c r="F144" s="85"/>
      <c r="G144" s="85"/>
      <c r="H144" s="85"/>
      <c r="I144" s="85"/>
      <c r="J144" s="85"/>
      <c r="K144" s="85"/>
      <c r="L144" s="85"/>
      <c r="M144" s="85"/>
      <c r="N144" s="86"/>
      <c r="O144" s="76"/>
      <c r="P144" s="3"/>
    </row>
    <row r="145" spans="1:16" s="13" customFormat="1" ht="15.75">
      <c r="A145" s="88"/>
      <c r="B145" s="104" t="s">
        <v>45</v>
      </c>
      <c r="C145" s="87" t="s">
        <v>66</v>
      </c>
      <c r="D145" s="19" t="s">
        <v>11</v>
      </c>
      <c r="E145" s="37">
        <f>SUM(E146:E151)</f>
        <v>1300</v>
      </c>
      <c r="F145" s="37">
        <f aca="true" t="shared" si="57" ref="F145:N145">SUM(F146:F151)</f>
        <v>600</v>
      </c>
      <c r="G145" s="37">
        <f t="shared" si="57"/>
        <v>500</v>
      </c>
      <c r="H145" s="37">
        <f t="shared" si="57"/>
        <v>0</v>
      </c>
      <c r="I145" s="37">
        <f t="shared" si="57"/>
        <v>0</v>
      </c>
      <c r="J145" s="37">
        <f t="shared" si="57"/>
        <v>0</v>
      </c>
      <c r="K145" s="37">
        <f t="shared" si="57"/>
        <v>200</v>
      </c>
      <c r="L145" s="37">
        <f t="shared" si="57"/>
        <v>0</v>
      </c>
      <c r="M145" s="37">
        <f>SUM(M146:M151)</f>
        <v>600</v>
      </c>
      <c r="N145" s="37">
        <f t="shared" si="57"/>
        <v>600</v>
      </c>
      <c r="O145" s="76"/>
      <c r="P145" s="3"/>
    </row>
    <row r="146" spans="1:16" s="2" customFormat="1" ht="48" customHeight="1">
      <c r="A146" s="88"/>
      <c r="B146" s="104"/>
      <c r="C146" s="88"/>
      <c r="D146" s="18" t="s">
        <v>12</v>
      </c>
      <c r="E146" s="37">
        <f>G146+I146+K146+M146</f>
        <v>1300</v>
      </c>
      <c r="F146" s="37">
        <f>H146+J146+L146+N146</f>
        <v>600</v>
      </c>
      <c r="G146" s="38">
        <f>500+H146</f>
        <v>500</v>
      </c>
      <c r="H146" s="38">
        <v>0</v>
      </c>
      <c r="I146" s="38"/>
      <c r="J146" s="38"/>
      <c r="K146" s="38">
        <v>200</v>
      </c>
      <c r="L146" s="38">
        <v>0</v>
      </c>
      <c r="M146" s="38">
        <v>600</v>
      </c>
      <c r="N146" s="38">
        <f>M146</f>
        <v>600</v>
      </c>
      <c r="O146" s="76"/>
      <c r="P146" s="1"/>
    </row>
    <row r="147" spans="1:16" ht="93" customHeight="1">
      <c r="A147" s="88"/>
      <c r="B147" s="104"/>
      <c r="C147" s="89"/>
      <c r="D147" s="18" t="s">
        <v>13</v>
      </c>
      <c r="E147" s="78" t="s">
        <v>60</v>
      </c>
      <c r="F147" s="79"/>
      <c r="G147" s="79"/>
      <c r="H147" s="79"/>
      <c r="I147" s="79"/>
      <c r="J147" s="79"/>
      <c r="K147" s="79"/>
      <c r="L147" s="79"/>
      <c r="M147" s="79"/>
      <c r="N147" s="80"/>
      <c r="O147" s="76"/>
      <c r="P147" s="3"/>
    </row>
    <row r="148" spans="1:16" ht="15.75" hidden="1">
      <c r="A148" s="88"/>
      <c r="B148" s="104"/>
      <c r="C148" s="18"/>
      <c r="D148" s="18" t="s">
        <v>14</v>
      </c>
      <c r="E148" s="81"/>
      <c r="F148" s="82"/>
      <c r="G148" s="82"/>
      <c r="H148" s="82"/>
      <c r="I148" s="82"/>
      <c r="J148" s="82"/>
      <c r="K148" s="82"/>
      <c r="L148" s="82"/>
      <c r="M148" s="82"/>
      <c r="N148" s="83"/>
      <c r="O148" s="76"/>
      <c r="P148" s="3"/>
    </row>
    <row r="149" spans="1:16" ht="15.75" hidden="1">
      <c r="A149" s="88"/>
      <c r="B149" s="104"/>
      <c r="C149" s="18"/>
      <c r="D149" s="18" t="s">
        <v>15</v>
      </c>
      <c r="E149" s="81"/>
      <c r="F149" s="82"/>
      <c r="G149" s="82"/>
      <c r="H149" s="82"/>
      <c r="I149" s="82"/>
      <c r="J149" s="82"/>
      <c r="K149" s="82"/>
      <c r="L149" s="82"/>
      <c r="M149" s="82"/>
      <c r="N149" s="83"/>
      <c r="O149" s="76"/>
      <c r="P149" s="3"/>
    </row>
    <row r="150" spans="1:16" ht="15.75" hidden="1">
      <c r="A150" s="88"/>
      <c r="B150" s="104"/>
      <c r="C150" s="18"/>
      <c r="D150" s="18" t="s">
        <v>16</v>
      </c>
      <c r="E150" s="81"/>
      <c r="F150" s="82"/>
      <c r="G150" s="82"/>
      <c r="H150" s="82"/>
      <c r="I150" s="82"/>
      <c r="J150" s="82"/>
      <c r="K150" s="82"/>
      <c r="L150" s="82"/>
      <c r="M150" s="82"/>
      <c r="N150" s="83"/>
      <c r="O150" s="76"/>
      <c r="P150" s="3"/>
    </row>
    <row r="151" spans="1:16" ht="15.75" hidden="1">
      <c r="A151" s="88"/>
      <c r="B151" s="104"/>
      <c r="C151" s="18"/>
      <c r="D151" s="18" t="s">
        <v>17</v>
      </c>
      <c r="E151" s="84"/>
      <c r="F151" s="85"/>
      <c r="G151" s="85"/>
      <c r="H151" s="85"/>
      <c r="I151" s="85"/>
      <c r="J151" s="85"/>
      <c r="K151" s="85"/>
      <c r="L151" s="85"/>
      <c r="M151" s="85"/>
      <c r="N151" s="86"/>
      <c r="O151" s="76"/>
      <c r="P151" s="3"/>
    </row>
    <row r="152" spans="1:16" ht="15.75" hidden="1">
      <c r="A152" s="88"/>
      <c r="B152" s="104" t="s">
        <v>28</v>
      </c>
      <c r="C152" s="18"/>
      <c r="D152" s="18" t="s">
        <v>11</v>
      </c>
      <c r="E152" s="37">
        <f>SUM(E153:E158)</f>
        <v>0</v>
      </c>
      <c r="F152" s="37">
        <f aca="true" t="shared" si="58" ref="F152:N152">SUM(F153:F158)</f>
        <v>0</v>
      </c>
      <c r="G152" s="38">
        <f t="shared" si="58"/>
        <v>0</v>
      </c>
      <c r="H152" s="38">
        <f t="shared" si="58"/>
        <v>0</v>
      </c>
      <c r="I152" s="38">
        <f t="shared" si="58"/>
        <v>0</v>
      </c>
      <c r="J152" s="38">
        <f t="shared" si="58"/>
        <v>0</v>
      </c>
      <c r="K152" s="38">
        <f t="shared" si="58"/>
        <v>0</v>
      </c>
      <c r="L152" s="38">
        <f t="shared" si="58"/>
        <v>0</v>
      </c>
      <c r="M152" s="38">
        <f t="shared" si="58"/>
        <v>0</v>
      </c>
      <c r="N152" s="38">
        <f t="shared" si="58"/>
        <v>0</v>
      </c>
      <c r="O152" s="76"/>
      <c r="P152" s="3"/>
    </row>
    <row r="153" spans="1:16" s="14" customFormat="1" ht="15.75" hidden="1">
      <c r="A153" s="88"/>
      <c r="B153" s="104"/>
      <c r="C153" s="18"/>
      <c r="D153" s="18" t="s">
        <v>12</v>
      </c>
      <c r="E153" s="37">
        <f aca="true" t="shared" si="59" ref="E153:F158">G153+I153+K153+M153</f>
        <v>0</v>
      </c>
      <c r="F153" s="37">
        <f t="shared" si="59"/>
        <v>0</v>
      </c>
      <c r="G153" s="38"/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f aca="true" t="shared" si="60" ref="M153:M158">N153</f>
        <v>0</v>
      </c>
      <c r="N153" s="38">
        <v>0</v>
      </c>
      <c r="O153" s="76"/>
      <c r="P153" s="1"/>
    </row>
    <row r="154" spans="1:16" s="15" customFormat="1" ht="15.75" hidden="1">
      <c r="A154" s="88"/>
      <c r="B154" s="104"/>
      <c r="C154" s="18"/>
      <c r="D154" s="18" t="s">
        <v>13</v>
      </c>
      <c r="E154" s="37">
        <f t="shared" si="59"/>
        <v>0</v>
      </c>
      <c r="F154" s="37">
        <f t="shared" si="59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f t="shared" si="60"/>
        <v>0</v>
      </c>
      <c r="N154" s="38">
        <v>0</v>
      </c>
      <c r="O154" s="76"/>
      <c r="P154" s="3"/>
    </row>
    <row r="155" spans="1:16" s="15" customFormat="1" ht="15.75" hidden="1">
      <c r="A155" s="88"/>
      <c r="B155" s="104"/>
      <c r="C155" s="18"/>
      <c r="D155" s="18" t="s">
        <v>14</v>
      </c>
      <c r="E155" s="37">
        <f t="shared" si="59"/>
        <v>0</v>
      </c>
      <c r="F155" s="37">
        <f t="shared" si="59"/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f t="shared" si="60"/>
        <v>0</v>
      </c>
      <c r="N155" s="38">
        <v>0</v>
      </c>
      <c r="O155" s="76"/>
      <c r="P155" s="3"/>
    </row>
    <row r="156" spans="1:16" s="15" customFormat="1" ht="15.75" hidden="1">
      <c r="A156" s="88"/>
      <c r="B156" s="104"/>
      <c r="C156" s="18"/>
      <c r="D156" s="18" t="s">
        <v>15</v>
      </c>
      <c r="E156" s="37">
        <f t="shared" si="59"/>
        <v>0</v>
      </c>
      <c r="F156" s="37">
        <f t="shared" si="59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f t="shared" si="60"/>
        <v>0</v>
      </c>
      <c r="N156" s="38">
        <v>0</v>
      </c>
      <c r="O156" s="76"/>
      <c r="P156" s="3"/>
    </row>
    <row r="157" spans="1:16" s="15" customFormat="1" ht="15.75" hidden="1">
      <c r="A157" s="88"/>
      <c r="B157" s="104"/>
      <c r="C157" s="18"/>
      <c r="D157" s="18" t="s">
        <v>16</v>
      </c>
      <c r="E157" s="37">
        <f t="shared" si="59"/>
        <v>0</v>
      </c>
      <c r="F157" s="37">
        <f t="shared" si="59"/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f t="shared" si="60"/>
        <v>0</v>
      </c>
      <c r="N157" s="38">
        <v>0</v>
      </c>
      <c r="O157" s="76"/>
      <c r="P157" s="3"/>
    </row>
    <row r="158" spans="1:16" s="15" customFormat="1" ht="15.75" hidden="1">
      <c r="A158" s="88"/>
      <c r="B158" s="104"/>
      <c r="C158" s="18"/>
      <c r="D158" s="18" t="s">
        <v>17</v>
      </c>
      <c r="E158" s="37">
        <f t="shared" si="59"/>
        <v>0</v>
      </c>
      <c r="F158" s="37">
        <f t="shared" si="59"/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f t="shared" si="60"/>
        <v>0</v>
      </c>
      <c r="N158" s="38">
        <v>0</v>
      </c>
      <c r="O158" s="76"/>
      <c r="P158" s="3"/>
    </row>
    <row r="159" spans="1:16" s="54" customFormat="1" ht="15.75">
      <c r="A159" s="88"/>
      <c r="B159" s="68" t="s">
        <v>38</v>
      </c>
      <c r="C159" s="53"/>
      <c r="D159" s="19" t="s">
        <v>11</v>
      </c>
      <c r="E159" s="37">
        <f>SUM(E160:E165)</f>
        <v>1779</v>
      </c>
      <c r="F159" s="37">
        <f aca="true" t="shared" si="61" ref="F159:M159">SUM(F160:F165)</f>
        <v>1355</v>
      </c>
      <c r="G159" s="37">
        <f t="shared" si="61"/>
        <v>1690</v>
      </c>
      <c r="H159" s="37">
        <f>SUM(H160:H165)</f>
        <v>1266</v>
      </c>
      <c r="I159" s="37">
        <f t="shared" si="61"/>
        <v>0</v>
      </c>
      <c r="J159" s="37">
        <f t="shared" si="61"/>
        <v>0</v>
      </c>
      <c r="K159" s="37">
        <f t="shared" si="61"/>
        <v>0</v>
      </c>
      <c r="L159" s="37">
        <f t="shared" si="61"/>
        <v>0</v>
      </c>
      <c r="M159" s="37">
        <f t="shared" si="61"/>
        <v>89</v>
      </c>
      <c r="N159" s="37">
        <f>SUM(N160:N165)</f>
        <v>89</v>
      </c>
      <c r="O159" s="76"/>
      <c r="P159" s="3"/>
    </row>
    <row r="160" spans="1:16" s="2" customFormat="1" ht="38.25">
      <c r="A160" s="88"/>
      <c r="B160" s="68"/>
      <c r="C160" s="18" t="s">
        <v>97</v>
      </c>
      <c r="D160" s="18" t="s">
        <v>12</v>
      </c>
      <c r="E160" s="37">
        <f aca="true" t="shared" si="62" ref="E160:F165">G160+I160+K160+M160</f>
        <v>195</v>
      </c>
      <c r="F160" s="37">
        <f t="shared" si="62"/>
        <v>89</v>
      </c>
      <c r="G160" s="38">
        <v>106</v>
      </c>
      <c r="H160" s="38">
        <v>0</v>
      </c>
      <c r="I160" s="38"/>
      <c r="J160" s="38"/>
      <c r="K160" s="38">
        <v>0</v>
      </c>
      <c r="L160" s="38"/>
      <c r="M160" s="38">
        <v>89</v>
      </c>
      <c r="N160" s="38">
        <f>M160</f>
        <v>89</v>
      </c>
      <c r="O160" s="76"/>
      <c r="P160" s="1"/>
    </row>
    <row r="161" spans="1:16" ht="15" customHeight="1">
      <c r="A161" s="88"/>
      <c r="B161" s="68"/>
      <c r="C161" s="87" t="s">
        <v>67</v>
      </c>
      <c r="D161" s="18" t="s">
        <v>13</v>
      </c>
      <c r="E161" s="37">
        <f t="shared" si="62"/>
        <v>1160</v>
      </c>
      <c r="F161" s="37">
        <f t="shared" si="62"/>
        <v>1160</v>
      </c>
      <c r="G161" s="38">
        <f>H161</f>
        <v>1160</v>
      </c>
      <c r="H161" s="38">
        <f>666+560-66</f>
        <v>1160</v>
      </c>
      <c r="I161" s="38"/>
      <c r="J161" s="38"/>
      <c r="K161" s="38">
        <v>0</v>
      </c>
      <c r="L161" s="38"/>
      <c r="M161" s="38">
        <v>0</v>
      </c>
      <c r="N161" s="38">
        <v>0</v>
      </c>
      <c r="O161" s="76"/>
      <c r="P161" s="3"/>
    </row>
    <row r="162" spans="1:16" ht="15" customHeight="1">
      <c r="A162" s="88"/>
      <c r="B162" s="68"/>
      <c r="C162" s="88"/>
      <c r="D162" s="18" t="s">
        <v>14</v>
      </c>
      <c r="E162" s="37">
        <f t="shared" si="62"/>
        <v>106</v>
      </c>
      <c r="F162" s="37">
        <f t="shared" si="62"/>
        <v>106</v>
      </c>
      <c r="G162" s="38">
        <f>H162</f>
        <v>106</v>
      </c>
      <c r="H162" s="38">
        <v>106</v>
      </c>
      <c r="I162" s="38"/>
      <c r="J162" s="38"/>
      <c r="K162" s="38">
        <v>0</v>
      </c>
      <c r="L162" s="38"/>
      <c r="M162" s="38">
        <v>0</v>
      </c>
      <c r="N162" s="38">
        <v>0</v>
      </c>
      <c r="O162" s="76"/>
      <c r="P162" s="3"/>
    </row>
    <row r="163" spans="1:16" ht="15.75">
      <c r="A163" s="88"/>
      <c r="B163" s="68"/>
      <c r="C163" s="88"/>
      <c r="D163" s="18" t="s">
        <v>15</v>
      </c>
      <c r="E163" s="37">
        <f t="shared" si="62"/>
        <v>106</v>
      </c>
      <c r="F163" s="37">
        <f t="shared" si="62"/>
        <v>0</v>
      </c>
      <c r="G163" s="38">
        <v>106</v>
      </c>
      <c r="H163" s="38">
        <v>0</v>
      </c>
      <c r="I163" s="38"/>
      <c r="J163" s="38"/>
      <c r="K163" s="38">
        <v>0</v>
      </c>
      <c r="L163" s="38"/>
      <c r="M163" s="38">
        <v>0</v>
      </c>
      <c r="N163" s="38">
        <v>0</v>
      </c>
      <c r="O163" s="76"/>
      <c r="P163" s="3"/>
    </row>
    <row r="164" spans="1:16" ht="15.75">
      <c r="A164" s="88"/>
      <c r="B164" s="68"/>
      <c r="C164" s="88"/>
      <c r="D164" s="18" t="s">
        <v>16</v>
      </c>
      <c r="E164" s="37">
        <f t="shared" si="62"/>
        <v>106</v>
      </c>
      <c r="F164" s="37">
        <f t="shared" si="62"/>
        <v>0</v>
      </c>
      <c r="G164" s="38">
        <v>106</v>
      </c>
      <c r="H164" s="38">
        <v>0</v>
      </c>
      <c r="I164" s="38"/>
      <c r="J164" s="38"/>
      <c r="K164" s="38">
        <v>0</v>
      </c>
      <c r="L164" s="38"/>
      <c r="M164" s="38">
        <v>0</v>
      </c>
      <c r="N164" s="38">
        <v>0</v>
      </c>
      <c r="O164" s="76"/>
      <c r="P164" s="3"/>
    </row>
    <row r="165" spans="1:16" ht="15.75">
      <c r="A165" s="89"/>
      <c r="B165" s="68"/>
      <c r="C165" s="89"/>
      <c r="D165" s="18" t="s">
        <v>17</v>
      </c>
      <c r="E165" s="37">
        <f t="shared" si="62"/>
        <v>106</v>
      </c>
      <c r="F165" s="37">
        <f t="shared" si="62"/>
        <v>0</v>
      </c>
      <c r="G165" s="38">
        <v>106</v>
      </c>
      <c r="H165" s="38"/>
      <c r="I165" s="38"/>
      <c r="J165" s="38"/>
      <c r="K165" s="38">
        <v>0</v>
      </c>
      <c r="L165" s="38"/>
      <c r="M165" s="38">
        <v>0</v>
      </c>
      <c r="N165" s="38">
        <v>0</v>
      </c>
      <c r="O165" s="77"/>
      <c r="P165" s="3"/>
    </row>
    <row r="166" spans="1:16" ht="15.75">
      <c r="A166" s="103" t="s">
        <v>20</v>
      </c>
      <c r="B166" s="21" t="s">
        <v>52</v>
      </c>
      <c r="C166" s="19"/>
      <c r="D166" s="19" t="s">
        <v>11</v>
      </c>
      <c r="E166" s="44">
        <f>SUM(E167:E172)</f>
        <v>795075.802</v>
      </c>
      <c r="F166" s="44">
        <f aca="true" t="shared" si="63" ref="F166:N166">SUM(F167:F172)</f>
        <v>508698.073</v>
      </c>
      <c r="G166" s="44">
        <f t="shared" si="63"/>
        <v>536560.47</v>
      </c>
      <c r="H166" s="44">
        <f t="shared" si="63"/>
        <v>350021.64</v>
      </c>
      <c r="I166" s="44">
        <f t="shared" si="63"/>
        <v>420</v>
      </c>
      <c r="J166" s="44">
        <f t="shared" si="63"/>
        <v>0</v>
      </c>
      <c r="K166" s="44">
        <f t="shared" si="63"/>
        <v>163211.832</v>
      </c>
      <c r="L166" s="44">
        <f t="shared" si="63"/>
        <v>70382.933</v>
      </c>
      <c r="M166" s="44">
        <f t="shared" si="63"/>
        <v>94883.5</v>
      </c>
      <c r="N166" s="44">
        <f t="shared" si="63"/>
        <v>88293.5</v>
      </c>
      <c r="O166" s="75" t="s">
        <v>39</v>
      </c>
      <c r="P166" s="3"/>
    </row>
    <row r="167" spans="1:16" s="13" customFormat="1" ht="35.25" customHeight="1">
      <c r="A167" s="98"/>
      <c r="B167" s="105" t="s">
        <v>21</v>
      </c>
      <c r="C167" s="19" t="s">
        <v>83</v>
      </c>
      <c r="D167" s="19" t="s">
        <v>12</v>
      </c>
      <c r="E167" s="44">
        <f aca="true" t="shared" si="64" ref="E167:F172">G167+I167+K167+M167</f>
        <v>129321.4</v>
      </c>
      <c r="F167" s="44">
        <f t="shared" si="64"/>
        <v>115482.7</v>
      </c>
      <c r="G167" s="44">
        <f aca="true" t="shared" si="65" ref="G167:L167">G174+G181+G188+G195+G202+G209+G216++G223+G230+G237+G244</f>
        <v>90603.7</v>
      </c>
      <c r="H167" s="44">
        <f t="shared" si="65"/>
        <v>77665</v>
      </c>
      <c r="I167" s="44">
        <f t="shared" si="65"/>
        <v>200</v>
      </c>
      <c r="J167" s="44">
        <f t="shared" si="65"/>
        <v>0</v>
      </c>
      <c r="K167" s="44">
        <f t="shared" si="65"/>
        <v>18264.5</v>
      </c>
      <c r="L167" s="44">
        <f t="shared" si="65"/>
        <v>17564.5</v>
      </c>
      <c r="M167" s="44">
        <f aca="true" t="shared" si="66" ref="M167:M172">M174+M181+M188+M195+M202+M209+M216+M223+M230+M237+M244</f>
        <v>20253.199999999997</v>
      </c>
      <c r="N167" s="44">
        <f aca="true" t="shared" si="67" ref="N167:N172">N174+N181+N188+N195+N202+N209+N216++N223+N230+N237+N244</f>
        <v>20253.199999999997</v>
      </c>
      <c r="O167" s="76"/>
      <c r="P167" s="3"/>
    </row>
    <row r="168" spans="1:16" s="13" customFormat="1" ht="15.75" customHeight="1">
      <c r="A168" s="98"/>
      <c r="B168" s="105"/>
      <c r="C168" s="90" t="s">
        <v>98</v>
      </c>
      <c r="D168" s="19" t="s">
        <v>13</v>
      </c>
      <c r="E168" s="44">
        <f t="shared" si="64"/>
        <v>128655.36999999998</v>
      </c>
      <c r="F168" s="44">
        <f t="shared" si="64"/>
        <v>122789.84</v>
      </c>
      <c r="G168" s="44">
        <f>G175+G182+G245</f>
        <v>85805.56999999998</v>
      </c>
      <c r="H168" s="44">
        <f>H175+H182+H245</f>
        <v>80980.04</v>
      </c>
      <c r="I168" s="44">
        <f aca="true" t="shared" si="68" ref="G168:L172">I175+I182+I189+I196+I203+I210+I217++I224+I231+I238+I245</f>
        <v>220</v>
      </c>
      <c r="J168" s="44">
        <f t="shared" si="68"/>
        <v>0</v>
      </c>
      <c r="K168" s="44">
        <f t="shared" si="68"/>
        <v>17618</v>
      </c>
      <c r="L168" s="44">
        <f t="shared" si="68"/>
        <v>16798</v>
      </c>
      <c r="M168" s="44">
        <f t="shared" si="66"/>
        <v>25011.8</v>
      </c>
      <c r="N168" s="44">
        <f t="shared" si="67"/>
        <v>25011.8</v>
      </c>
      <c r="O168" s="76"/>
      <c r="P168" s="3"/>
    </row>
    <row r="169" spans="1:24" s="13" customFormat="1" ht="15" customHeight="1">
      <c r="A169" s="98"/>
      <c r="B169" s="105"/>
      <c r="C169" s="91"/>
      <c r="D169" s="19" t="s">
        <v>14</v>
      </c>
      <c r="E169" s="44">
        <f t="shared" si="64"/>
        <v>151718.633</v>
      </c>
      <c r="F169" s="44">
        <f t="shared" si="64"/>
        <v>150033.633</v>
      </c>
      <c r="G169" s="44">
        <f>G176+G183+G190+G197+G204+G211+G218++G225+G232+G239+G246</f>
        <v>90037.8</v>
      </c>
      <c r="H169" s="44">
        <f t="shared" si="68"/>
        <v>88352.8</v>
      </c>
      <c r="I169" s="44">
        <f t="shared" si="68"/>
        <v>0</v>
      </c>
      <c r="J169" s="44">
        <f t="shared" si="68"/>
        <v>0</v>
      </c>
      <c r="K169" s="44">
        <f t="shared" si="68"/>
        <v>31832.333</v>
      </c>
      <c r="L169" s="44">
        <f>L176+L183+L190+L197+L204+L211+L218++L225+L232+L239+L246</f>
        <v>31832.333</v>
      </c>
      <c r="M169" s="44">
        <f t="shared" si="66"/>
        <v>29848.5</v>
      </c>
      <c r="N169" s="44">
        <f t="shared" si="67"/>
        <v>29848.5</v>
      </c>
      <c r="O169" s="76"/>
      <c r="P169" s="3"/>
      <c r="W169" s="13">
        <v>88276.82</v>
      </c>
      <c r="X169" s="39">
        <f>W169-H169</f>
        <v>-75.97999999999593</v>
      </c>
    </row>
    <row r="170" spans="1:16" s="13" customFormat="1" ht="15.75">
      <c r="A170" s="98"/>
      <c r="B170" s="105"/>
      <c r="C170" s="91"/>
      <c r="D170" s="19" t="s">
        <v>15</v>
      </c>
      <c r="E170" s="44">
        <f t="shared" si="64"/>
        <v>128460.133</v>
      </c>
      <c r="F170" s="44">
        <f t="shared" si="64"/>
        <v>60212.4</v>
      </c>
      <c r="G170" s="44">
        <f t="shared" si="68"/>
        <v>90037.8</v>
      </c>
      <c r="H170" s="44">
        <f t="shared" si="68"/>
        <v>51511.9</v>
      </c>
      <c r="I170" s="44">
        <f t="shared" si="68"/>
        <v>0</v>
      </c>
      <c r="J170" s="44">
        <f t="shared" si="68"/>
        <v>0</v>
      </c>
      <c r="K170" s="44">
        <f t="shared" si="68"/>
        <v>31832.333</v>
      </c>
      <c r="L170" s="44">
        <f t="shared" si="68"/>
        <v>2110.5</v>
      </c>
      <c r="M170" s="44">
        <f t="shared" si="66"/>
        <v>6590</v>
      </c>
      <c r="N170" s="44">
        <f t="shared" si="67"/>
        <v>6590</v>
      </c>
      <c r="O170" s="76"/>
      <c r="P170" s="3"/>
    </row>
    <row r="171" spans="1:16" s="13" customFormat="1" ht="15.75">
      <c r="A171" s="98"/>
      <c r="B171" s="105"/>
      <c r="C171" s="91"/>
      <c r="D171" s="19" t="s">
        <v>16</v>
      </c>
      <c r="E171" s="44">
        <f t="shared" si="64"/>
        <v>128460.133</v>
      </c>
      <c r="F171" s="44">
        <f t="shared" si="64"/>
        <v>60179.5</v>
      </c>
      <c r="G171" s="44">
        <f t="shared" si="68"/>
        <v>90037.8</v>
      </c>
      <c r="H171" s="44">
        <f t="shared" si="68"/>
        <v>51511.9</v>
      </c>
      <c r="I171" s="44">
        <f t="shared" si="68"/>
        <v>0</v>
      </c>
      <c r="J171" s="44">
        <f t="shared" si="68"/>
        <v>0</v>
      </c>
      <c r="K171" s="44">
        <f t="shared" si="68"/>
        <v>31832.333</v>
      </c>
      <c r="L171" s="44">
        <f t="shared" si="68"/>
        <v>2077.6</v>
      </c>
      <c r="M171" s="44">
        <f t="shared" si="66"/>
        <v>6590</v>
      </c>
      <c r="N171" s="44">
        <f t="shared" si="67"/>
        <v>6590</v>
      </c>
      <c r="O171" s="76"/>
      <c r="P171" s="3"/>
    </row>
    <row r="172" spans="1:16" s="13" customFormat="1" ht="15.75">
      <c r="A172" s="98"/>
      <c r="B172" s="105"/>
      <c r="C172" s="92"/>
      <c r="D172" s="19" t="s">
        <v>17</v>
      </c>
      <c r="E172" s="44">
        <f t="shared" si="64"/>
        <v>128460.133</v>
      </c>
      <c r="F172" s="44">
        <f t="shared" si="64"/>
        <v>0</v>
      </c>
      <c r="G172" s="44">
        <f t="shared" si="68"/>
        <v>90037.8</v>
      </c>
      <c r="H172" s="44">
        <f t="shared" si="68"/>
        <v>0</v>
      </c>
      <c r="I172" s="44">
        <f t="shared" si="68"/>
        <v>0</v>
      </c>
      <c r="J172" s="44">
        <f t="shared" si="68"/>
        <v>0</v>
      </c>
      <c r="K172" s="44">
        <f t="shared" si="68"/>
        <v>31832.333</v>
      </c>
      <c r="L172" s="44">
        <f t="shared" si="68"/>
        <v>0</v>
      </c>
      <c r="M172" s="44">
        <f t="shared" si="66"/>
        <v>6590</v>
      </c>
      <c r="N172" s="44">
        <f t="shared" si="67"/>
        <v>0</v>
      </c>
      <c r="O172" s="76"/>
      <c r="P172" s="3"/>
    </row>
    <row r="173" spans="1:16" s="13" customFormat="1" ht="15.75" customHeight="1">
      <c r="A173" s="98"/>
      <c r="B173" s="58" t="s">
        <v>29</v>
      </c>
      <c r="C173" s="55"/>
      <c r="D173" s="19" t="s">
        <v>11</v>
      </c>
      <c r="E173" s="37">
        <f>SUM(E174:E179)</f>
        <v>771976.0020000001</v>
      </c>
      <c r="F173" s="37">
        <f aca="true" t="shared" si="69" ref="F173:N173">SUM(F174:F179)</f>
        <v>501559.673</v>
      </c>
      <c r="G173" s="37">
        <f t="shared" si="69"/>
        <v>514739.2699999999</v>
      </c>
      <c r="H173" s="37">
        <f t="shared" si="69"/>
        <v>343261.84</v>
      </c>
      <c r="I173" s="37">
        <f t="shared" si="69"/>
        <v>220</v>
      </c>
      <c r="J173" s="37">
        <f t="shared" si="69"/>
        <v>0</v>
      </c>
      <c r="K173" s="37">
        <f t="shared" si="69"/>
        <v>162511.832</v>
      </c>
      <c r="L173" s="37">
        <f t="shared" si="69"/>
        <v>70382.933</v>
      </c>
      <c r="M173" s="37">
        <f t="shared" si="69"/>
        <v>94504.9</v>
      </c>
      <c r="N173" s="37">
        <f t="shared" si="69"/>
        <v>87914.9</v>
      </c>
      <c r="O173" s="76"/>
      <c r="P173" s="3"/>
    </row>
    <row r="174" spans="1:16" s="2" customFormat="1" ht="54.75" customHeight="1">
      <c r="A174" s="98"/>
      <c r="B174" s="58"/>
      <c r="C174" s="18" t="s">
        <v>90</v>
      </c>
      <c r="D174" s="18" t="s">
        <v>12</v>
      </c>
      <c r="E174" s="37">
        <f aca="true" t="shared" si="70" ref="E174:F179">G174+I174+K174+M174</f>
        <v>114532.09999999998</v>
      </c>
      <c r="F174" s="37">
        <f t="shared" si="70"/>
        <v>111157.5</v>
      </c>
      <c r="G174" s="38">
        <f>8503.5+H174-559.8-4514.1-10-45</f>
        <v>77092.99999999999</v>
      </c>
      <c r="H174" s="38">
        <v>73718.4</v>
      </c>
      <c r="I174" s="38">
        <v>0</v>
      </c>
      <c r="J174" s="38">
        <v>0</v>
      </c>
      <c r="K174" s="38">
        <f>L174</f>
        <v>17564.5</v>
      </c>
      <c r="L174" s="38">
        <v>17564.5</v>
      </c>
      <c r="M174" s="38">
        <v>19874.6</v>
      </c>
      <c r="N174" s="38">
        <f>M174</f>
        <v>19874.6</v>
      </c>
      <c r="O174" s="76"/>
      <c r="P174" s="1"/>
    </row>
    <row r="175" spans="1:16" ht="55.5" customHeight="1">
      <c r="A175" s="98"/>
      <c r="B175" s="58"/>
      <c r="C175" s="18" t="s">
        <v>89</v>
      </c>
      <c r="D175" s="18" t="s">
        <v>13</v>
      </c>
      <c r="E175" s="37">
        <f t="shared" si="70"/>
        <v>126132.86999999998</v>
      </c>
      <c r="F175" s="37">
        <f t="shared" si="70"/>
        <v>121423.63999999998</v>
      </c>
      <c r="G175" s="38">
        <f>H175+260.23+775+150+608+276+300+1300</f>
        <v>83283.06999999998</v>
      </c>
      <c r="H175" s="38">
        <f>79427.7-H217-H224-H231-H238-1165.7-H245+649.4-0.3+991.5+700+70-744.66</f>
        <v>79613.83999999998</v>
      </c>
      <c r="I175" s="38">
        <v>220</v>
      </c>
      <c r="J175" s="38">
        <v>0</v>
      </c>
      <c r="K175" s="38">
        <f>L175+360+460</f>
        <v>17618</v>
      </c>
      <c r="L175" s="38">
        <f>24612.9+72-7886.9</f>
        <v>16798</v>
      </c>
      <c r="M175" s="38">
        <f>25011.8-M189-M196-M217-M224-M231-M238</f>
        <v>25011.8</v>
      </c>
      <c r="N175" s="38">
        <f>M175</f>
        <v>25011.8</v>
      </c>
      <c r="O175" s="76"/>
      <c r="P175" s="3"/>
    </row>
    <row r="176" spans="1:16" ht="15" customHeight="1">
      <c r="A176" s="98"/>
      <c r="B176" s="58"/>
      <c r="C176" s="87" t="s">
        <v>85</v>
      </c>
      <c r="D176" s="18" t="s">
        <v>14</v>
      </c>
      <c r="E176" s="37">
        <f t="shared" si="70"/>
        <v>150271.633</v>
      </c>
      <c r="F176" s="37">
        <f t="shared" si="70"/>
        <v>148586.633</v>
      </c>
      <c r="G176" s="38">
        <f>H176+1685</f>
        <v>88590.8</v>
      </c>
      <c r="H176" s="38">
        <f>86449.7-H183-H246+1499.5+20+80+303.6</f>
        <v>86905.8</v>
      </c>
      <c r="I176" s="38">
        <v>0</v>
      </c>
      <c r="J176" s="38">
        <v>0</v>
      </c>
      <c r="K176" s="38">
        <f>L176</f>
        <v>31832.333</v>
      </c>
      <c r="L176" s="38">
        <f>32007.833-175.5</f>
        <v>31832.333</v>
      </c>
      <c r="M176" s="38">
        <f>29848.5-M190-M197-M218-M225-M232-M239</f>
        <v>29848.5</v>
      </c>
      <c r="N176" s="38">
        <f>M176</f>
        <v>29848.5</v>
      </c>
      <c r="O176" s="76"/>
      <c r="P176" s="3"/>
    </row>
    <row r="177" spans="1:16" ht="15.75">
      <c r="A177" s="98"/>
      <c r="B177" s="58"/>
      <c r="C177" s="88"/>
      <c r="D177" s="18" t="s">
        <v>15</v>
      </c>
      <c r="E177" s="37">
        <f t="shared" si="70"/>
        <v>127013.133</v>
      </c>
      <c r="F177" s="37">
        <f t="shared" si="70"/>
        <v>60212.4</v>
      </c>
      <c r="G177" s="38">
        <f>G176</f>
        <v>88590.8</v>
      </c>
      <c r="H177" s="38">
        <f>51511.9</f>
        <v>51511.9</v>
      </c>
      <c r="I177" s="38">
        <v>0</v>
      </c>
      <c r="J177" s="38">
        <v>0</v>
      </c>
      <c r="K177" s="38">
        <f>K176</f>
        <v>31832.333</v>
      </c>
      <c r="L177" s="38">
        <v>2110.5</v>
      </c>
      <c r="M177" s="38">
        <f>6590-M191-M198-M219-M226-M233-M240</f>
        <v>6590</v>
      </c>
      <c r="N177" s="38">
        <f>M177</f>
        <v>6590</v>
      </c>
      <c r="O177" s="76"/>
      <c r="P177" s="3"/>
    </row>
    <row r="178" spans="1:16" ht="15.75">
      <c r="A178" s="98"/>
      <c r="B178" s="58"/>
      <c r="C178" s="88"/>
      <c r="D178" s="18" t="s">
        <v>16</v>
      </c>
      <c r="E178" s="37">
        <f t="shared" si="70"/>
        <v>127013.133</v>
      </c>
      <c r="F178" s="37">
        <f t="shared" si="70"/>
        <v>60179.5</v>
      </c>
      <c r="G178" s="38">
        <f>G177</f>
        <v>88590.8</v>
      </c>
      <c r="H178" s="38">
        <f>51511.9</f>
        <v>51511.9</v>
      </c>
      <c r="I178" s="38">
        <v>0</v>
      </c>
      <c r="J178" s="38">
        <v>0</v>
      </c>
      <c r="K178" s="38">
        <f>K177</f>
        <v>31832.333</v>
      </c>
      <c r="L178" s="38">
        <v>2077.6</v>
      </c>
      <c r="M178" s="38">
        <f>6590-M192-M199-M220-M227-M234-M241</f>
        <v>6590</v>
      </c>
      <c r="N178" s="38">
        <f>M178</f>
        <v>6590</v>
      </c>
      <c r="O178" s="76"/>
      <c r="P178" s="3"/>
    </row>
    <row r="179" spans="1:16" ht="15.75">
      <c r="A179" s="98"/>
      <c r="B179" s="59"/>
      <c r="C179" s="89"/>
      <c r="D179" s="18" t="s">
        <v>17</v>
      </c>
      <c r="E179" s="37">
        <f t="shared" si="70"/>
        <v>127013.133</v>
      </c>
      <c r="F179" s="37">
        <f t="shared" si="70"/>
        <v>0</v>
      </c>
      <c r="G179" s="38">
        <f>G178</f>
        <v>88590.8</v>
      </c>
      <c r="H179" s="38">
        <v>0</v>
      </c>
      <c r="I179" s="38">
        <v>0</v>
      </c>
      <c r="J179" s="38">
        <v>0</v>
      </c>
      <c r="K179" s="38">
        <f>K178</f>
        <v>31832.333</v>
      </c>
      <c r="L179" s="38">
        <v>0</v>
      </c>
      <c r="M179" s="38">
        <f>M178</f>
        <v>6590</v>
      </c>
      <c r="N179" s="38">
        <v>0</v>
      </c>
      <c r="O179" s="76"/>
      <c r="P179" s="3"/>
    </row>
    <row r="180" spans="1:16" s="13" customFormat="1" ht="15.75" customHeight="1">
      <c r="A180" s="98"/>
      <c r="B180" s="104" t="s">
        <v>30</v>
      </c>
      <c r="C180" s="7"/>
      <c r="D180" s="19" t="s">
        <v>11</v>
      </c>
      <c r="E180" s="37">
        <f>SUM(E181:E186)</f>
        <v>7110.299999999999</v>
      </c>
      <c r="F180" s="37">
        <f aca="true" t="shared" si="71" ref="F180:L180">SUM(F181:F186)</f>
        <v>3111.6</v>
      </c>
      <c r="G180" s="37">
        <f t="shared" si="71"/>
        <v>7110.299999999999</v>
      </c>
      <c r="H180" s="37">
        <f t="shared" si="71"/>
        <v>3111.6</v>
      </c>
      <c r="I180" s="37">
        <f t="shared" si="71"/>
        <v>0</v>
      </c>
      <c r="J180" s="37">
        <f t="shared" si="71"/>
        <v>0</v>
      </c>
      <c r="K180" s="37">
        <f t="shared" si="71"/>
        <v>0</v>
      </c>
      <c r="L180" s="37">
        <f t="shared" si="71"/>
        <v>0</v>
      </c>
      <c r="M180" s="37">
        <f>SUM(M181:M186)</f>
        <v>0</v>
      </c>
      <c r="N180" s="37">
        <f>SUM(N181:N186)</f>
        <v>0</v>
      </c>
      <c r="O180" s="76"/>
      <c r="P180" s="3"/>
    </row>
    <row r="181" spans="1:16" s="2" customFormat="1" ht="30" customHeight="1">
      <c r="A181" s="98"/>
      <c r="B181" s="104"/>
      <c r="C181" s="49" t="s">
        <v>99</v>
      </c>
      <c r="D181" s="18" t="s">
        <v>12</v>
      </c>
      <c r="E181" s="37">
        <f aca="true" t="shared" si="72" ref="E181:F186">G181+I181+K181+M181</f>
        <v>1526.6</v>
      </c>
      <c r="F181" s="37">
        <f t="shared" si="72"/>
        <v>926.6</v>
      </c>
      <c r="G181" s="38">
        <f>600+H181</f>
        <v>1526.6</v>
      </c>
      <c r="H181" s="38">
        <v>926.6</v>
      </c>
      <c r="I181" s="38">
        <v>0</v>
      </c>
      <c r="J181" s="38">
        <v>0</v>
      </c>
      <c r="K181" s="38">
        <v>0</v>
      </c>
      <c r="L181" s="38">
        <v>0</v>
      </c>
      <c r="M181" s="38">
        <f>N181</f>
        <v>0</v>
      </c>
      <c r="N181" s="38">
        <v>0</v>
      </c>
      <c r="O181" s="76"/>
      <c r="P181" s="1"/>
    </row>
    <row r="182" spans="1:16" ht="25.5" customHeight="1">
      <c r="A182" s="98"/>
      <c r="B182" s="104"/>
      <c r="C182" s="87" t="s">
        <v>64</v>
      </c>
      <c r="D182" s="18" t="s">
        <v>13</v>
      </c>
      <c r="E182" s="37">
        <f t="shared" si="72"/>
        <v>1052.1</v>
      </c>
      <c r="F182" s="37">
        <f t="shared" si="72"/>
        <v>1052.1</v>
      </c>
      <c r="G182" s="38">
        <f>H182</f>
        <v>1052.1</v>
      </c>
      <c r="H182" s="38">
        <f>52.1+1160.5-46.9-113.6</f>
        <v>1052.1</v>
      </c>
      <c r="I182" s="38">
        <v>0</v>
      </c>
      <c r="J182" s="38">
        <v>0</v>
      </c>
      <c r="K182" s="38">
        <v>0</v>
      </c>
      <c r="L182" s="38">
        <v>0</v>
      </c>
      <c r="M182" s="38">
        <f>N182</f>
        <v>0</v>
      </c>
      <c r="N182" s="38">
        <v>0</v>
      </c>
      <c r="O182" s="76"/>
      <c r="P182" s="3"/>
    </row>
    <row r="183" spans="1:24" ht="15" customHeight="1">
      <c r="A183" s="98"/>
      <c r="B183" s="104"/>
      <c r="C183" s="88"/>
      <c r="D183" s="35" t="s">
        <v>14</v>
      </c>
      <c r="E183" s="40">
        <f t="shared" si="72"/>
        <v>1132.9</v>
      </c>
      <c r="F183" s="40">
        <f t="shared" si="72"/>
        <v>1132.9</v>
      </c>
      <c r="G183" s="41">
        <f>H183</f>
        <v>1132.9</v>
      </c>
      <c r="H183" s="41">
        <f>1165.5-32.6</f>
        <v>1132.9</v>
      </c>
      <c r="I183" s="41">
        <v>0</v>
      </c>
      <c r="J183" s="41">
        <v>0</v>
      </c>
      <c r="K183" s="41">
        <v>0</v>
      </c>
      <c r="L183" s="41">
        <v>0</v>
      </c>
      <c r="M183" s="41">
        <f>1.1*M182</f>
        <v>0</v>
      </c>
      <c r="N183" s="41">
        <v>0</v>
      </c>
      <c r="O183" s="76"/>
      <c r="P183" s="3"/>
      <c r="W183" s="4">
        <v>1132.9</v>
      </c>
      <c r="X183" s="48">
        <f>W183-H183</f>
        <v>0</v>
      </c>
    </row>
    <row r="184" spans="1:16" s="43" customFormat="1" ht="15.75">
      <c r="A184" s="98"/>
      <c r="B184" s="104"/>
      <c r="C184" s="88"/>
      <c r="D184" s="18" t="s">
        <v>15</v>
      </c>
      <c r="E184" s="37">
        <f t="shared" si="72"/>
        <v>1132.9</v>
      </c>
      <c r="F184" s="37">
        <f t="shared" si="72"/>
        <v>0</v>
      </c>
      <c r="G184" s="38">
        <f>G183</f>
        <v>1132.9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f>1.1*M183</f>
        <v>0</v>
      </c>
      <c r="N184" s="38">
        <v>0</v>
      </c>
      <c r="O184" s="76"/>
      <c r="P184" s="42"/>
    </row>
    <row r="185" spans="1:16" ht="15.75">
      <c r="A185" s="98"/>
      <c r="B185" s="104"/>
      <c r="C185" s="88"/>
      <c r="D185" s="18" t="s">
        <v>16</v>
      </c>
      <c r="E185" s="37">
        <f t="shared" si="72"/>
        <v>1132.9</v>
      </c>
      <c r="F185" s="37">
        <f t="shared" si="72"/>
        <v>0</v>
      </c>
      <c r="G185" s="38">
        <f>G184</f>
        <v>1132.9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f>1.1*M184</f>
        <v>0</v>
      </c>
      <c r="N185" s="38">
        <v>0</v>
      </c>
      <c r="O185" s="76"/>
      <c r="P185" s="3"/>
    </row>
    <row r="186" spans="1:16" ht="15.75">
      <c r="A186" s="98"/>
      <c r="B186" s="104"/>
      <c r="C186" s="89"/>
      <c r="D186" s="18" t="s">
        <v>17</v>
      </c>
      <c r="E186" s="37">
        <f t="shared" si="72"/>
        <v>1132.9</v>
      </c>
      <c r="F186" s="37">
        <f t="shared" si="72"/>
        <v>0</v>
      </c>
      <c r="G186" s="38">
        <f>G185</f>
        <v>1132.9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f>1.1*M185</f>
        <v>0</v>
      </c>
      <c r="N186" s="38">
        <v>0</v>
      </c>
      <c r="O186" s="76"/>
      <c r="P186" s="3"/>
    </row>
    <row r="187" spans="1:16" s="13" customFormat="1" ht="15" customHeight="1">
      <c r="A187" s="98"/>
      <c r="B187" s="104" t="s">
        <v>31</v>
      </c>
      <c r="C187" s="107"/>
      <c r="D187" s="19" t="s">
        <v>11</v>
      </c>
      <c r="E187" s="37">
        <f>SUM(E188:E193)</f>
        <v>1815.6</v>
      </c>
      <c r="F187" s="37">
        <f aca="true" t="shared" si="73" ref="F187:L187">SUM(F188:F193)</f>
        <v>1515.6</v>
      </c>
      <c r="G187" s="37">
        <f t="shared" si="73"/>
        <v>1500</v>
      </c>
      <c r="H187" s="37">
        <f t="shared" si="73"/>
        <v>1500</v>
      </c>
      <c r="I187" s="37">
        <f t="shared" si="73"/>
        <v>0</v>
      </c>
      <c r="J187" s="37">
        <f t="shared" si="73"/>
        <v>0</v>
      </c>
      <c r="K187" s="37">
        <f t="shared" si="73"/>
        <v>300</v>
      </c>
      <c r="L187" s="37">
        <f t="shared" si="73"/>
        <v>0</v>
      </c>
      <c r="M187" s="37">
        <f>SUM(M188:M193)</f>
        <v>15.6</v>
      </c>
      <c r="N187" s="37">
        <f>SUM(N188:N193)</f>
        <v>15.6</v>
      </c>
      <c r="O187" s="76"/>
      <c r="P187" s="3"/>
    </row>
    <row r="188" spans="1:16" s="2" customFormat="1" ht="30.75" customHeight="1">
      <c r="A188" s="98"/>
      <c r="B188" s="104"/>
      <c r="C188" s="108"/>
      <c r="D188" s="18" t="s">
        <v>12</v>
      </c>
      <c r="E188" s="37">
        <f>G188+I188+K188+M188</f>
        <v>1815.6</v>
      </c>
      <c r="F188" s="37">
        <f>H188+J188+L188+N188</f>
        <v>1515.6</v>
      </c>
      <c r="G188" s="38">
        <v>1500</v>
      </c>
      <c r="H188" s="38">
        <v>1500</v>
      </c>
      <c r="I188" s="38">
        <v>0</v>
      </c>
      <c r="J188" s="38">
        <v>0</v>
      </c>
      <c r="K188" s="38">
        <v>300</v>
      </c>
      <c r="L188" s="38">
        <v>0</v>
      </c>
      <c r="M188" s="38">
        <v>15.6</v>
      </c>
      <c r="N188" s="38">
        <f>M188</f>
        <v>15.6</v>
      </c>
      <c r="O188" s="76"/>
      <c r="P188" s="1"/>
    </row>
    <row r="189" spans="1:16" ht="25.5" customHeight="1">
      <c r="A189" s="98"/>
      <c r="B189" s="104"/>
      <c r="C189" s="109"/>
      <c r="D189" s="18" t="s">
        <v>13</v>
      </c>
      <c r="E189" s="78" t="s">
        <v>60</v>
      </c>
      <c r="F189" s="79"/>
      <c r="G189" s="79"/>
      <c r="H189" s="79"/>
      <c r="I189" s="79"/>
      <c r="J189" s="79"/>
      <c r="K189" s="79"/>
      <c r="L189" s="79"/>
      <c r="M189" s="79"/>
      <c r="N189" s="80"/>
      <c r="O189" s="76"/>
      <c r="P189" s="3"/>
    </row>
    <row r="190" spans="1:16" ht="15.75" hidden="1">
      <c r="A190" s="98"/>
      <c r="B190" s="104"/>
      <c r="C190" s="18"/>
      <c r="D190" s="18" t="s">
        <v>14</v>
      </c>
      <c r="E190" s="81"/>
      <c r="F190" s="82"/>
      <c r="G190" s="82"/>
      <c r="H190" s="82"/>
      <c r="I190" s="82"/>
      <c r="J190" s="82"/>
      <c r="K190" s="82"/>
      <c r="L190" s="82"/>
      <c r="M190" s="82"/>
      <c r="N190" s="83"/>
      <c r="O190" s="76"/>
      <c r="P190" s="3"/>
    </row>
    <row r="191" spans="1:16" ht="15.75" hidden="1">
      <c r="A191" s="98"/>
      <c r="B191" s="104"/>
      <c r="C191" s="18"/>
      <c r="D191" s="18" t="s">
        <v>15</v>
      </c>
      <c r="E191" s="81"/>
      <c r="F191" s="82"/>
      <c r="G191" s="82"/>
      <c r="H191" s="82"/>
      <c r="I191" s="82"/>
      <c r="J191" s="82"/>
      <c r="K191" s="82"/>
      <c r="L191" s="82"/>
      <c r="M191" s="82"/>
      <c r="N191" s="83"/>
      <c r="O191" s="76"/>
      <c r="P191" s="3"/>
    </row>
    <row r="192" spans="1:16" ht="15.75" hidden="1">
      <c r="A192" s="98"/>
      <c r="B192" s="104"/>
      <c r="C192" s="18"/>
      <c r="D192" s="18" t="s">
        <v>16</v>
      </c>
      <c r="E192" s="81"/>
      <c r="F192" s="82"/>
      <c r="G192" s="82"/>
      <c r="H192" s="82"/>
      <c r="I192" s="82"/>
      <c r="J192" s="82"/>
      <c r="K192" s="82"/>
      <c r="L192" s="82"/>
      <c r="M192" s="82"/>
      <c r="N192" s="83"/>
      <c r="O192" s="76"/>
      <c r="P192" s="3"/>
    </row>
    <row r="193" spans="1:16" ht="15.75" hidden="1">
      <c r="A193" s="98"/>
      <c r="B193" s="104"/>
      <c r="C193" s="18"/>
      <c r="D193" s="18" t="s">
        <v>17</v>
      </c>
      <c r="E193" s="84"/>
      <c r="F193" s="85"/>
      <c r="G193" s="85"/>
      <c r="H193" s="85"/>
      <c r="I193" s="85"/>
      <c r="J193" s="85"/>
      <c r="K193" s="85"/>
      <c r="L193" s="85"/>
      <c r="M193" s="85"/>
      <c r="N193" s="86"/>
      <c r="O193" s="76"/>
      <c r="P193" s="3"/>
    </row>
    <row r="194" spans="1:16" s="13" customFormat="1" ht="15.75">
      <c r="A194" s="98"/>
      <c r="B194" s="104" t="s">
        <v>58</v>
      </c>
      <c r="C194" s="87" t="s">
        <v>66</v>
      </c>
      <c r="D194" s="19" t="s">
        <v>11</v>
      </c>
      <c r="E194" s="37">
        <f>SUM(E195:E200)</f>
        <v>6500</v>
      </c>
      <c r="F194" s="37">
        <f aca="true" t="shared" si="74" ref="F194:N194">SUM(F195:F200)</f>
        <v>0</v>
      </c>
      <c r="G194" s="37">
        <f t="shared" si="74"/>
        <v>6500</v>
      </c>
      <c r="H194" s="37">
        <f t="shared" si="74"/>
        <v>0</v>
      </c>
      <c r="I194" s="37">
        <f t="shared" si="74"/>
        <v>0</v>
      </c>
      <c r="J194" s="37">
        <f t="shared" si="74"/>
        <v>0</v>
      </c>
      <c r="K194" s="37">
        <f t="shared" si="74"/>
        <v>0</v>
      </c>
      <c r="L194" s="37">
        <f t="shared" si="74"/>
        <v>0</v>
      </c>
      <c r="M194" s="37">
        <f t="shared" si="74"/>
        <v>0</v>
      </c>
      <c r="N194" s="37">
        <f t="shared" si="74"/>
        <v>0</v>
      </c>
      <c r="O194" s="76"/>
      <c r="P194" s="3"/>
    </row>
    <row r="195" spans="1:16" s="2" customFormat="1" ht="31.5" customHeight="1">
      <c r="A195" s="98"/>
      <c r="B195" s="104"/>
      <c r="C195" s="88"/>
      <c r="D195" s="18" t="s">
        <v>12</v>
      </c>
      <c r="E195" s="37">
        <f>G195+I195+K195+M195</f>
        <v>6500</v>
      </c>
      <c r="F195" s="37">
        <f>H195+J195+L195+N195</f>
        <v>0</v>
      </c>
      <c r="G195" s="38">
        <f>6500</f>
        <v>6500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f>M195</f>
        <v>0</v>
      </c>
      <c r="O195" s="76"/>
      <c r="P195" s="1"/>
    </row>
    <row r="196" spans="1:16" ht="31.5" customHeight="1">
      <c r="A196" s="98"/>
      <c r="B196" s="104"/>
      <c r="C196" s="89"/>
      <c r="D196" s="18" t="s">
        <v>13</v>
      </c>
      <c r="E196" s="78" t="s">
        <v>60</v>
      </c>
      <c r="F196" s="79"/>
      <c r="G196" s="79"/>
      <c r="H196" s="79"/>
      <c r="I196" s="79"/>
      <c r="J196" s="79"/>
      <c r="K196" s="79"/>
      <c r="L196" s="79"/>
      <c r="M196" s="79"/>
      <c r="N196" s="80"/>
      <c r="O196" s="76"/>
      <c r="P196" s="3"/>
    </row>
    <row r="197" spans="1:16" ht="15.75" hidden="1">
      <c r="A197" s="98"/>
      <c r="B197" s="104"/>
      <c r="C197" s="18"/>
      <c r="D197" s="18" t="s">
        <v>14</v>
      </c>
      <c r="E197" s="81"/>
      <c r="F197" s="82"/>
      <c r="G197" s="82"/>
      <c r="H197" s="82"/>
      <c r="I197" s="82"/>
      <c r="J197" s="82"/>
      <c r="K197" s="82"/>
      <c r="L197" s="82"/>
      <c r="M197" s="82"/>
      <c r="N197" s="83"/>
      <c r="O197" s="76"/>
      <c r="P197" s="3"/>
    </row>
    <row r="198" spans="1:16" ht="15.75" hidden="1">
      <c r="A198" s="98"/>
      <c r="B198" s="104"/>
      <c r="C198" s="18"/>
      <c r="D198" s="18" t="s">
        <v>15</v>
      </c>
      <c r="E198" s="81"/>
      <c r="F198" s="82"/>
      <c r="G198" s="82"/>
      <c r="H198" s="82"/>
      <c r="I198" s="82"/>
      <c r="J198" s="82"/>
      <c r="K198" s="82"/>
      <c r="L198" s="82"/>
      <c r="M198" s="82"/>
      <c r="N198" s="83"/>
      <c r="O198" s="76"/>
      <c r="P198" s="3"/>
    </row>
    <row r="199" spans="1:16" ht="15.75" hidden="1">
      <c r="A199" s="98"/>
      <c r="B199" s="104"/>
      <c r="C199" s="18"/>
      <c r="D199" s="18" t="s">
        <v>16</v>
      </c>
      <c r="E199" s="81"/>
      <c r="F199" s="82"/>
      <c r="G199" s="82"/>
      <c r="H199" s="82"/>
      <c r="I199" s="82"/>
      <c r="J199" s="82"/>
      <c r="K199" s="82"/>
      <c r="L199" s="82"/>
      <c r="M199" s="82"/>
      <c r="N199" s="83"/>
      <c r="O199" s="76"/>
      <c r="P199" s="3"/>
    </row>
    <row r="200" spans="1:16" ht="15.75" hidden="1">
      <c r="A200" s="98"/>
      <c r="B200" s="104"/>
      <c r="C200" s="18"/>
      <c r="D200" s="18" t="s">
        <v>17</v>
      </c>
      <c r="E200" s="84"/>
      <c r="F200" s="85"/>
      <c r="G200" s="85"/>
      <c r="H200" s="85"/>
      <c r="I200" s="85"/>
      <c r="J200" s="85"/>
      <c r="K200" s="85"/>
      <c r="L200" s="85"/>
      <c r="M200" s="85"/>
      <c r="N200" s="86"/>
      <c r="O200" s="76"/>
      <c r="P200" s="3"/>
    </row>
    <row r="201" spans="1:16" ht="15.75" hidden="1">
      <c r="A201" s="98"/>
      <c r="B201" s="104" t="s">
        <v>32</v>
      </c>
      <c r="C201" s="18"/>
      <c r="D201" s="18" t="s">
        <v>11</v>
      </c>
      <c r="E201" s="37">
        <f>SUM(E202:E207)</f>
        <v>0</v>
      </c>
      <c r="F201" s="37">
        <f aca="true" t="shared" si="75" ref="F201:N201">SUM(F202:F207)</f>
        <v>0</v>
      </c>
      <c r="G201" s="38">
        <f t="shared" si="75"/>
        <v>0</v>
      </c>
      <c r="H201" s="38">
        <f t="shared" si="75"/>
        <v>0</v>
      </c>
      <c r="I201" s="38">
        <f t="shared" si="75"/>
        <v>0</v>
      </c>
      <c r="J201" s="38">
        <f t="shared" si="75"/>
        <v>0</v>
      </c>
      <c r="K201" s="38">
        <f t="shared" si="75"/>
        <v>0</v>
      </c>
      <c r="L201" s="38">
        <f t="shared" si="75"/>
        <v>0</v>
      </c>
      <c r="M201" s="38">
        <f t="shared" si="75"/>
        <v>0</v>
      </c>
      <c r="N201" s="38">
        <f t="shared" si="75"/>
        <v>0</v>
      </c>
      <c r="O201" s="76"/>
      <c r="P201" s="3"/>
    </row>
    <row r="202" spans="1:16" s="2" customFormat="1" ht="15.75" hidden="1">
      <c r="A202" s="98"/>
      <c r="B202" s="104" t="s">
        <v>22</v>
      </c>
      <c r="C202" s="18"/>
      <c r="D202" s="18" t="s">
        <v>12</v>
      </c>
      <c r="E202" s="37">
        <f aca="true" t="shared" si="76" ref="E202:F207">G202+I202+K202+M202</f>
        <v>0</v>
      </c>
      <c r="F202" s="37">
        <f t="shared" si="76"/>
        <v>0</v>
      </c>
      <c r="G202" s="38"/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f aca="true" t="shared" si="77" ref="M202:M207">N202</f>
        <v>0</v>
      </c>
      <c r="N202" s="38">
        <v>0</v>
      </c>
      <c r="O202" s="76"/>
      <c r="P202" s="1"/>
    </row>
    <row r="203" spans="1:16" ht="15.75" hidden="1">
      <c r="A203" s="98"/>
      <c r="B203" s="104" t="s">
        <v>23</v>
      </c>
      <c r="C203" s="18"/>
      <c r="D203" s="18" t="s">
        <v>13</v>
      </c>
      <c r="E203" s="37">
        <f t="shared" si="76"/>
        <v>0</v>
      </c>
      <c r="F203" s="37">
        <f t="shared" si="76"/>
        <v>0</v>
      </c>
      <c r="G203" s="38"/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f t="shared" si="77"/>
        <v>0</v>
      </c>
      <c r="N203" s="38">
        <v>0</v>
      </c>
      <c r="O203" s="76"/>
      <c r="P203" s="3"/>
    </row>
    <row r="204" spans="1:16" ht="15.75" hidden="1">
      <c r="A204" s="98"/>
      <c r="B204" s="104"/>
      <c r="C204" s="18"/>
      <c r="D204" s="18" t="s">
        <v>14</v>
      </c>
      <c r="E204" s="37">
        <f t="shared" si="76"/>
        <v>0</v>
      </c>
      <c r="F204" s="37">
        <f t="shared" si="76"/>
        <v>0</v>
      </c>
      <c r="G204" s="38"/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f t="shared" si="77"/>
        <v>0</v>
      </c>
      <c r="N204" s="38">
        <v>0</v>
      </c>
      <c r="O204" s="76"/>
      <c r="P204" s="3"/>
    </row>
    <row r="205" spans="1:16" ht="15.75" hidden="1">
      <c r="A205" s="98"/>
      <c r="B205" s="104"/>
      <c r="C205" s="18"/>
      <c r="D205" s="18" t="s">
        <v>15</v>
      </c>
      <c r="E205" s="37">
        <f t="shared" si="76"/>
        <v>0</v>
      </c>
      <c r="F205" s="37">
        <f t="shared" si="76"/>
        <v>0</v>
      </c>
      <c r="G205" s="38"/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f t="shared" si="77"/>
        <v>0</v>
      </c>
      <c r="N205" s="38">
        <v>0</v>
      </c>
      <c r="O205" s="76"/>
      <c r="P205" s="3"/>
    </row>
    <row r="206" spans="1:16" ht="15.75" hidden="1">
      <c r="A206" s="98"/>
      <c r="B206" s="104"/>
      <c r="C206" s="18"/>
      <c r="D206" s="18" t="s">
        <v>16</v>
      </c>
      <c r="E206" s="37">
        <f t="shared" si="76"/>
        <v>0</v>
      </c>
      <c r="F206" s="37">
        <f t="shared" si="76"/>
        <v>0</v>
      </c>
      <c r="G206" s="38"/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f t="shared" si="77"/>
        <v>0</v>
      </c>
      <c r="N206" s="38">
        <v>0</v>
      </c>
      <c r="O206" s="76"/>
      <c r="P206" s="3"/>
    </row>
    <row r="207" spans="1:16" ht="15.75" hidden="1">
      <c r="A207" s="98"/>
      <c r="B207" s="104"/>
      <c r="C207" s="18"/>
      <c r="D207" s="18" t="s">
        <v>17</v>
      </c>
      <c r="E207" s="37">
        <f t="shared" si="76"/>
        <v>0</v>
      </c>
      <c r="F207" s="37">
        <f t="shared" si="76"/>
        <v>0</v>
      </c>
      <c r="G207" s="38"/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f t="shared" si="77"/>
        <v>0</v>
      </c>
      <c r="N207" s="38">
        <v>0</v>
      </c>
      <c r="O207" s="76"/>
      <c r="P207" s="3"/>
    </row>
    <row r="208" spans="1:16" ht="15.75" hidden="1">
      <c r="A208" s="98"/>
      <c r="B208" s="104" t="s">
        <v>33</v>
      </c>
      <c r="C208" s="18"/>
      <c r="D208" s="18" t="s">
        <v>11</v>
      </c>
      <c r="E208" s="37">
        <f>SUM(E209:E214)</f>
        <v>0</v>
      </c>
      <c r="F208" s="37">
        <f aca="true" t="shared" si="78" ref="F208:N208">SUM(F209:F214)</f>
        <v>0</v>
      </c>
      <c r="G208" s="38">
        <f t="shared" si="78"/>
        <v>0</v>
      </c>
      <c r="H208" s="38">
        <f t="shared" si="78"/>
        <v>0</v>
      </c>
      <c r="I208" s="38">
        <f t="shared" si="78"/>
        <v>0</v>
      </c>
      <c r="J208" s="38">
        <f t="shared" si="78"/>
        <v>0</v>
      </c>
      <c r="K208" s="38">
        <f t="shared" si="78"/>
        <v>0</v>
      </c>
      <c r="L208" s="38">
        <f t="shared" si="78"/>
        <v>0</v>
      </c>
      <c r="M208" s="38">
        <f t="shared" si="78"/>
        <v>0</v>
      </c>
      <c r="N208" s="38">
        <f t="shared" si="78"/>
        <v>0</v>
      </c>
      <c r="O208" s="76"/>
      <c r="P208" s="3"/>
    </row>
    <row r="209" spans="1:16" s="2" customFormat="1" ht="15.75" hidden="1">
      <c r="A209" s="98"/>
      <c r="B209" s="104"/>
      <c r="C209" s="18"/>
      <c r="D209" s="18" t="s">
        <v>12</v>
      </c>
      <c r="E209" s="37">
        <f aca="true" t="shared" si="79" ref="E209:F214">G209+I209+K209+M209</f>
        <v>0</v>
      </c>
      <c r="F209" s="37">
        <f t="shared" si="79"/>
        <v>0</v>
      </c>
      <c r="G209" s="38"/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f aca="true" t="shared" si="80" ref="M209:M214">N209</f>
        <v>0</v>
      </c>
      <c r="N209" s="38">
        <v>0</v>
      </c>
      <c r="O209" s="76"/>
      <c r="P209" s="1"/>
    </row>
    <row r="210" spans="1:16" ht="15.75" hidden="1">
      <c r="A210" s="98"/>
      <c r="B210" s="104"/>
      <c r="C210" s="18"/>
      <c r="D210" s="18" t="s">
        <v>13</v>
      </c>
      <c r="E210" s="37">
        <f t="shared" si="79"/>
        <v>0</v>
      </c>
      <c r="F210" s="37">
        <f t="shared" si="79"/>
        <v>0</v>
      </c>
      <c r="G210" s="38"/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f t="shared" si="80"/>
        <v>0</v>
      </c>
      <c r="N210" s="38">
        <v>0</v>
      </c>
      <c r="O210" s="76"/>
      <c r="P210" s="3"/>
    </row>
    <row r="211" spans="1:16" ht="15.75" hidden="1">
      <c r="A211" s="98"/>
      <c r="B211" s="104"/>
      <c r="C211" s="18"/>
      <c r="D211" s="18" t="s">
        <v>14</v>
      </c>
      <c r="E211" s="37">
        <f t="shared" si="79"/>
        <v>0</v>
      </c>
      <c r="F211" s="37">
        <f t="shared" si="79"/>
        <v>0</v>
      </c>
      <c r="G211" s="38"/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f t="shared" si="80"/>
        <v>0</v>
      </c>
      <c r="N211" s="38">
        <v>0</v>
      </c>
      <c r="O211" s="76"/>
      <c r="P211" s="3"/>
    </row>
    <row r="212" spans="1:16" ht="15.75" hidden="1">
      <c r="A212" s="98"/>
      <c r="B212" s="104"/>
      <c r="C212" s="18"/>
      <c r="D212" s="18" t="s">
        <v>15</v>
      </c>
      <c r="E212" s="37">
        <f t="shared" si="79"/>
        <v>0</v>
      </c>
      <c r="F212" s="37">
        <f t="shared" si="79"/>
        <v>0</v>
      </c>
      <c r="G212" s="38"/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f t="shared" si="80"/>
        <v>0</v>
      </c>
      <c r="N212" s="38">
        <v>0</v>
      </c>
      <c r="O212" s="76"/>
      <c r="P212" s="3"/>
    </row>
    <row r="213" spans="1:16" ht="15.75" hidden="1">
      <c r="A213" s="98"/>
      <c r="B213" s="104"/>
      <c r="C213" s="18"/>
      <c r="D213" s="18" t="s">
        <v>16</v>
      </c>
      <c r="E213" s="37">
        <f t="shared" si="79"/>
        <v>0</v>
      </c>
      <c r="F213" s="37">
        <f t="shared" si="79"/>
        <v>0</v>
      </c>
      <c r="G213" s="38"/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f t="shared" si="80"/>
        <v>0</v>
      </c>
      <c r="N213" s="38">
        <v>0</v>
      </c>
      <c r="O213" s="76"/>
      <c r="P213" s="3"/>
    </row>
    <row r="214" spans="1:16" ht="15.75" hidden="1">
      <c r="A214" s="98"/>
      <c r="B214" s="104"/>
      <c r="C214" s="18"/>
      <c r="D214" s="18" t="s">
        <v>17</v>
      </c>
      <c r="E214" s="37">
        <f t="shared" si="79"/>
        <v>0</v>
      </c>
      <c r="F214" s="37">
        <f t="shared" si="79"/>
        <v>0</v>
      </c>
      <c r="G214" s="38"/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f t="shared" si="80"/>
        <v>0</v>
      </c>
      <c r="N214" s="38">
        <v>0</v>
      </c>
      <c r="O214" s="76"/>
      <c r="P214" s="3"/>
    </row>
    <row r="215" spans="1:16" s="13" customFormat="1" ht="60" customHeight="1">
      <c r="A215" s="98"/>
      <c r="B215" s="104" t="s">
        <v>46</v>
      </c>
      <c r="C215" s="87" t="s">
        <v>66</v>
      </c>
      <c r="D215" s="19" t="s">
        <v>11</v>
      </c>
      <c r="E215" s="37">
        <f>SUM(E216:E221)</f>
        <v>1145</v>
      </c>
      <c r="F215" s="37">
        <f aca="true" t="shared" si="81" ref="F215:N215">SUM(F216:F221)</f>
        <v>445</v>
      </c>
      <c r="G215" s="37">
        <f t="shared" si="81"/>
        <v>930</v>
      </c>
      <c r="H215" s="37">
        <f t="shared" si="81"/>
        <v>430</v>
      </c>
      <c r="I215" s="37">
        <f t="shared" si="81"/>
        <v>100</v>
      </c>
      <c r="J215" s="37">
        <f t="shared" si="81"/>
        <v>0</v>
      </c>
      <c r="K215" s="37">
        <f t="shared" si="81"/>
        <v>100</v>
      </c>
      <c r="L215" s="37">
        <f t="shared" si="81"/>
        <v>0</v>
      </c>
      <c r="M215" s="37">
        <f t="shared" si="81"/>
        <v>15</v>
      </c>
      <c r="N215" s="37">
        <f t="shared" si="81"/>
        <v>15</v>
      </c>
      <c r="O215" s="76"/>
      <c r="P215" s="3"/>
    </row>
    <row r="216" spans="1:16" s="2" customFormat="1" ht="58.5" customHeight="1">
      <c r="A216" s="98"/>
      <c r="B216" s="104"/>
      <c r="C216" s="88"/>
      <c r="D216" s="18" t="s">
        <v>12</v>
      </c>
      <c r="E216" s="37">
        <f>G216+I216+K216+M216</f>
        <v>1145</v>
      </c>
      <c r="F216" s="37">
        <f>H216+J216+L216+N216</f>
        <v>445</v>
      </c>
      <c r="G216" s="38">
        <f>500+H216</f>
        <v>930</v>
      </c>
      <c r="H216" s="38">
        <v>430</v>
      </c>
      <c r="I216" s="38">
        <v>100</v>
      </c>
      <c r="J216" s="38">
        <v>0</v>
      </c>
      <c r="K216" s="38">
        <v>100</v>
      </c>
      <c r="L216" s="38">
        <v>0</v>
      </c>
      <c r="M216" s="38">
        <v>15</v>
      </c>
      <c r="N216" s="38">
        <f>M216</f>
        <v>15</v>
      </c>
      <c r="O216" s="76"/>
      <c r="P216" s="1"/>
    </row>
    <row r="217" spans="1:16" ht="81.75" customHeight="1">
      <c r="A217" s="98"/>
      <c r="B217" s="104"/>
      <c r="C217" s="89"/>
      <c r="D217" s="18" t="s">
        <v>13</v>
      </c>
      <c r="E217" s="78" t="s">
        <v>60</v>
      </c>
      <c r="F217" s="79"/>
      <c r="G217" s="79"/>
      <c r="H217" s="79"/>
      <c r="I217" s="79"/>
      <c r="J217" s="79"/>
      <c r="K217" s="79"/>
      <c r="L217" s="79"/>
      <c r="M217" s="79"/>
      <c r="N217" s="80"/>
      <c r="O217" s="76"/>
      <c r="P217" s="3"/>
    </row>
    <row r="218" spans="1:16" ht="15.75" hidden="1">
      <c r="A218" s="98"/>
      <c r="B218" s="104"/>
      <c r="C218" s="18"/>
      <c r="D218" s="18" t="s">
        <v>14</v>
      </c>
      <c r="E218" s="81"/>
      <c r="F218" s="82"/>
      <c r="G218" s="82"/>
      <c r="H218" s="82"/>
      <c r="I218" s="82"/>
      <c r="J218" s="82"/>
      <c r="K218" s="82"/>
      <c r="L218" s="82"/>
      <c r="M218" s="82"/>
      <c r="N218" s="83"/>
      <c r="O218" s="76"/>
      <c r="P218" s="3"/>
    </row>
    <row r="219" spans="1:16" ht="15.75" hidden="1">
      <c r="A219" s="98"/>
      <c r="B219" s="104"/>
      <c r="C219" s="18"/>
      <c r="D219" s="18" t="s">
        <v>15</v>
      </c>
      <c r="E219" s="81"/>
      <c r="F219" s="82"/>
      <c r="G219" s="82"/>
      <c r="H219" s="82"/>
      <c r="I219" s="82"/>
      <c r="J219" s="82"/>
      <c r="K219" s="82"/>
      <c r="L219" s="82"/>
      <c r="M219" s="82"/>
      <c r="N219" s="83"/>
      <c r="O219" s="76"/>
      <c r="P219" s="3"/>
    </row>
    <row r="220" spans="1:16" ht="15.75" hidden="1">
      <c r="A220" s="98"/>
      <c r="B220" s="104"/>
      <c r="C220" s="18"/>
      <c r="D220" s="18" t="s">
        <v>16</v>
      </c>
      <c r="E220" s="81"/>
      <c r="F220" s="82"/>
      <c r="G220" s="82"/>
      <c r="H220" s="82"/>
      <c r="I220" s="82"/>
      <c r="J220" s="82"/>
      <c r="K220" s="82"/>
      <c r="L220" s="82"/>
      <c r="M220" s="82"/>
      <c r="N220" s="83"/>
      <c r="O220" s="76"/>
      <c r="P220" s="3"/>
    </row>
    <row r="221" spans="1:16" ht="15.75" hidden="1">
      <c r="A221" s="98"/>
      <c r="B221" s="104"/>
      <c r="C221" s="18"/>
      <c r="D221" s="18" t="s">
        <v>17</v>
      </c>
      <c r="E221" s="84"/>
      <c r="F221" s="85"/>
      <c r="G221" s="85"/>
      <c r="H221" s="85"/>
      <c r="I221" s="85"/>
      <c r="J221" s="85"/>
      <c r="K221" s="85"/>
      <c r="L221" s="85"/>
      <c r="M221" s="85"/>
      <c r="N221" s="86"/>
      <c r="O221" s="76"/>
      <c r="P221" s="3"/>
    </row>
    <row r="222" spans="1:16" s="13" customFormat="1" ht="15.75">
      <c r="A222" s="98"/>
      <c r="B222" s="104" t="s">
        <v>35</v>
      </c>
      <c r="C222" s="87" t="s">
        <v>66</v>
      </c>
      <c r="D222" s="19" t="s">
        <v>11</v>
      </c>
      <c r="E222" s="37">
        <f>SUM(E223:E228)</f>
        <v>700</v>
      </c>
      <c r="F222" s="37">
        <f aca="true" t="shared" si="82" ref="F222:N222">SUM(F223:F228)</f>
        <v>250</v>
      </c>
      <c r="G222" s="37">
        <f t="shared" si="82"/>
        <v>450</v>
      </c>
      <c r="H222" s="37">
        <f t="shared" si="82"/>
        <v>0</v>
      </c>
      <c r="I222" s="37">
        <f t="shared" si="82"/>
        <v>0</v>
      </c>
      <c r="J222" s="37">
        <f t="shared" si="82"/>
        <v>0</v>
      </c>
      <c r="K222" s="37">
        <f t="shared" si="82"/>
        <v>0</v>
      </c>
      <c r="L222" s="37">
        <f t="shared" si="82"/>
        <v>0</v>
      </c>
      <c r="M222" s="37">
        <f t="shared" si="82"/>
        <v>250</v>
      </c>
      <c r="N222" s="37">
        <f t="shared" si="82"/>
        <v>250</v>
      </c>
      <c r="O222" s="76"/>
      <c r="P222" s="3"/>
    </row>
    <row r="223" spans="1:16" s="2" customFormat="1" ht="15.75">
      <c r="A223" s="98"/>
      <c r="B223" s="104"/>
      <c r="C223" s="88"/>
      <c r="D223" s="18" t="s">
        <v>12</v>
      </c>
      <c r="E223" s="37">
        <f>G223+I223+K223+M223</f>
        <v>700</v>
      </c>
      <c r="F223" s="37">
        <f>H223+J223+L223+N223</f>
        <v>250</v>
      </c>
      <c r="G223" s="38">
        <f>450+H223</f>
        <v>450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250</v>
      </c>
      <c r="N223" s="38">
        <f>M223</f>
        <v>250</v>
      </c>
      <c r="O223" s="76"/>
      <c r="P223" s="1"/>
    </row>
    <row r="224" spans="1:16" ht="24" customHeight="1">
      <c r="A224" s="98"/>
      <c r="B224" s="104"/>
      <c r="C224" s="89"/>
      <c r="D224" s="18" t="s">
        <v>13</v>
      </c>
      <c r="E224" s="78" t="s">
        <v>60</v>
      </c>
      <c r="F224" s="79"/>
      <c r="G224" s="79"/>
      <c r="H224" s="79"/>
      <c r="I224" s="79"/>
      <c r="J224" s="79"/>
      <c r="K224" s="79"/>
      <c r="L224" s="79"/>
      <c r="M224" s="79"/>
      <c r="N224" s="80"/>
      <c r="O224" s="76"/>
      <c r="P224" s="3"/>
    </row>
    <row r="225" spans="1:16" ht="15.75" hidden="1">
      <c r="A225" s="98"/>
      <c r="B225" s="104"/>
      <c r="C225" s="18"/>
      <c r="D225" s="18" t="s">
        <v>14</v>
      </c>
      <c r="E225" s="81"/>
      <c r="F225" s="82"/>
      <c r="G225" s="82"/>
      <c r="H225" s="82"/>
      <c r="I225" s="82"/>
      <c r="J225" s="82"/>
      <c r="K225" s="82"/>
      <c r="L225" s="82"/>
      <c r="M225" s="82"/>
      <c r="N225" s="83"/>
      <c r="O225" s="76"/>
      <c r="P225" s="3"/>
    </row>
    <row r="226" spans="1:16" ht="15.75" hidden="1">
      <c r="A226" s="98"/>
      <c r="B226" s="104"/>
      <c r="C226" s="18"/>
      <c r="D226" s="18" t="s">
        <v>15</v>
      </c>
      <c r="E226" s="81"/>
      <c r="F226" s="82"/>
      <c r="G226" s="82"/>
      <c r="H226" s="82"/>
      <c r="I226" s="82"/>
      <c r="J226" s="82"/>
      <c r="K226" s="82"/>
      <c r="L226" s="82"/>
      <c r="M226" s="82"/>
      <c r="N226" s="83"/>
      <c r="O226" s="76"/>
      <c r="P226" s="3"/>
    </row>
    <row r="227" spans="1:16" ht="15.75" hidden="1">
      <c r="A227" s="98"/>
      <c r="B227" s="104"/>
      <c r="C227" s="18"/>
      <c r="D227" s="18" t="s">
        <v>16</v>
      </c>
      <c r="E227" s="81"/>
      <c r="F227" s="82"/>
      <c r="G227" s="82"/>
      <c r="H227" s="82"/>
      <c r="I227" s="82"/>
      <c r="J227" s="82"/>
      <c r="K227" s="82"/>
      <c r="L227" s="82"/>
      <c r="M227" s="82"/>
      <c r="N227" s="83"/>
      <c r="O227" s="76"/>
      <c r="P227" s="3"/>
    </row>
    <row r="228" spans="1:16" ht="15.75" hidden="1">
      <c r="A228" s="98"/>
      <c r="B228" s="104"/>
      <c r="C228" s="18"/>
      <c r="D228" s="18" t="s">
        <v>17</v>
      </c>
      <c r="E228" s="84"/>
      <c r="F228" s="85"/>
      <c r="G228" s="85"/>
      <c r="H228" s="85"/>
      <c r="I228" s="85"/>
      <c r="J228" s="85"/>
      <c r="K228" s="85"/>
      <c r="L228" s="85"/>
      <c r="M228" s="85"/>
      <c r="N228" s="86"/>
      <c r="O228" s="76"/>
      <c r="P228" s="3"/>
    </row>
    <row r="229" spans="1:16" s="13" customFormat="1" ht="15.75">
      <c r="A229" s="98"/>
      <c r="B229" s="104" t="s">
        <v>36</v>
      </c>
      <c r="C229" s="87" t="s">
        <v>66</v>
      </c>
      <c r="D229" s="19" t="s">
        <v>11</v>
      </c>
      <c r="E229" s="37">
        <f>SUM(E230:E235)</f>
        <v>800</v>
      </c>
      <c r="F229" s="37">
        <f aca="true" t="shared" si="83" ref="F229:N229">SUM(F230:F235)</f>
        <v>0</v>
      </c>
      <c r="G229" s="37">
        <f t="shared" si="83"/>
        <v>600</v>
      </c>
      <c r="H229" s="37">
        <f t="shared" si="83"/>
        <v>0</v>
      </c>
      <c r="I229" s="37">
        <f t="shared" si="83"/>
        <v>100</v>
      </c>
      <c r="J229" s="37">
        <f t="shared" si="83"/>
        <v>0</v>
      </c>
      <c r="K229" s="37">
        <f t="shared" si="83"/>
        <v>100</v>
      </c>
      <c r="L229" s="37">
        <f t="shared" si="83"/>
        <v>0</v>
      </c>
      <c r="M229" s="37">
        <f t="shared" si="83"/>
        <v>0</v>
      </c>
      <c r="N229" s="37">
        <f t="shared" si="83"/>
        <v>0</v>
      </c>
      <c r="O229" s="76"/>
      <c r="P229" s="3"/>
    </row>
    <row r="230" spans="1:16" s="2" customFormat="1" ht="15.75">
      <c r="A230" s="98"/>
      <c r="B230" s="104"/>
      <c r="C230" s="88"/>
      <c r="D230" s="18" t="s">
        <v>12</v>
      </c>
      <c r="E230" s="37">
        <f>G230+I230+K230+M230</f>
        <v>800</v>
      </c>
      <c r="F230" s="37">
        <f>H230+J230+L230+N230</f>
        <v>0</v>
      </c>
      <c r="G230" s="38">
        <f>600+H230</f>
        <v>600</v>
      </c>
      <c r="H230" s="38">
        <v>0</v>
      </c>
      <c r="I230" s="38">
        <v>100</v>
      </c>
      <c r="J230" s="38">
        <v>0</v>
      </c>
      <c r="K230" s="38">
        <v>100</v>
      </c>
      <c r="L230" s="38">
        <v>0</v>
      </c>
      <c r="M230" s="38">
        <v>0</v>
      </c>
      <c r="N230" s="38">
        <f>M230</f>
        <v>0</v>
      </c>
      <c r="O230" s="76"/>
      <c r="P230" s="1"/>
    </row>
    <row r="231" spans="1:16" ht="15.75">
      <c r="A231" s="98"/>
      <c r="B231" s="104"/>
      <c r="C231" s="89"/>
      <c r="D231" s="18" t="s">
        <v>13</v>
      </c>
      <c r="E231" s="78" t="s">
        <v>60</v>
      </c>
      <c r="F231" s="79"/>
      <c r="G231" s="79"/>
      <c r="H231" s="79"/>
      <c r="I231" s="79"/>
      <c r="J231" s="79"/>
      <c r="K231" s="79"/>
      <c r="L231" s="79"/>
      <c r="M231" s="79"/>
      <c r="N231" s="80"/>
      <c r="O231" s="76"/>
      <c r="P231" s="3"/>
    </row>
    <row r="232" spans="1:16" ht="15.75" hidden="1">
      <c r="A232" s="98"/>
      <c r="B232" s="104"/>
      <c r="C232" s="18"/>
      <c r="D232" s="18" t="s">
        <v>14</v>
      </c>
      <c r="E232" s="81"/>
      <c r="F232" s="82"/>
      <c r="G232" s="82"/>
      <c r="H232" s="82"/>
      <c r="I232" s="82"/>
      <c r="J232" s="82"/>
      <c r="K232" s="82"/>
      <c r="L232" s="82"/>
      <c r="M232" s="82"/>
      <c r="N232" s="83"/>
      <c r="O232" s="76"/>
      <c r="P232" s="3"/>
    </row>
    <row r="233" spans="1:16" ht="15.75" hidden="1">
      <c r="A233" s="98"/>
      <c r="B233" s="104"/>
      <c r="C233" s="18"/>
      <c r="D233" s="18" t="s">
        <v>15</v>
      </c>
      <c r="E233" s="81"/>
      <c r="F233" s="82"/>
      <c r="G233" s="82"/>
      <c r="H233" s="82"/>
      <c r="I233" s="82"/>
      <c r="J233" s="82"/>
      <c r="K233" s="82"/>
      <c r="L233" s="82"/>
      <c r="M233" s="82"/>
      <c r="N233" s="83"/>
      <c r="O233" s="76"/>
      <c r="P233" s="3"/>
    </row>
    <row r="234" spans="1:16" ht="15.75" hidden="1">
      <c r="A234" s="98"/>
      <c r="B234" s="104"/>
      <c r="C234" s="18"/>
      <c r="D234" s="18" t="s">
        <v>16</v>
      </c>
      <c r="E234" s="81"/>
      <c r="F234" s="82"/>
      <c r="G234" s="82"/>
      <c r="H234" s="82"/>
      <c r="I234" s="82"/>
      <c r="J234" s="82"/>
      <c r="K234" s="82"/>
      <c r="L234" s="82"/>
      <c r="M234" s="82"/>
      <c r="N234" s="83"/>
      <c r="O234" s="76"/>
      <c r="P234" s="3"/>
    </row>
    <row r="235" spans="1:16" ht="15.75" hidden="1">
      <c r="A235" s="98"/>
      <c r="B235" s="104"/>
      <c r="C235" s="18"/>
      <c r="D235" s="18" t="s">
        <v>17</v>
      </c>
      <c r="E235" s="84"/>
      <c r="F235" s="85"/>
      <c r="G235" s="85"/>
      <c r="H235" s="85"/>
      <c r="I235" s="85"/>
      <c r="J235" s="85"/>
      <c r="K235" s="85"/>
      <c r="L235" s="85"/>
      <c r="M235" s="85"/>
      <c r="N235" s="86"/>
      <c r="O235" s="76"/>
      <c r="P235" s="3"/>
    </row>
    <row r="236" spans="1:16" s="13" customFormat="1" ht="15.75">
      <c r="A236" s="98"/>
      <c r="B236" s="104" t="s">
        <v>37</v>
      </c>
      <c r="C236" s="95" t="s">
        <v>66</v>
      </c>
      <c r="D236" s="19" t="s">
        <v>11</v>
      </c>
      <c r="E236" s="37">
        <f aca="true" t="shared" si="84" ref="E236:N236">SUM(E237:E242)</f>
        <v>1940</v>
      </c>
      <c r="F236" s="37">
        <f t="shared" si="84"/>
        <v>940</v>
      </c>
      <c r="G236" s="37">
        <f t="shared" si="84"/>
        <v>1690</v>
      </c>
      <c r="H236" s="37">
        <f t="shared" si="84"/>
        <v>890</v>
      </c>
      <c r="I236" s="37">
        <f t="shared" si="84"/>
        <v>0</v>
      </c>
      <c r="J236" s="37">
        <f t="shared" si="84"/>
        <v>0</v>
      </c>
      <c r="K236" s="37">
        <f t="shared" si="84"/>
        <v>200</v>
      </c>
      <c r="L236" s="37">
        <f t="shared" si="84"/>
        <v>0</v>
      </c>
      <c r="M236" s="37">
        <f t="shared" si="84"/>
        <v>50</v>
      </c>
      <c r="N236" s="37">
        <f t="shared" si="84"/>
        <v>50</v>
      </c>
      <c r="O236" s="76"/>
      <c r="P236" s="3"/>
    </row>
    <row r="237" spans="1:16" s="2" customFormat="1" ht="24" customHeight="1">
      <c r="A237" s="98"/>
      <c r="B237" s="104"/>
      <c r="C237" s="96"/>
      <c r="D237" s="18" t="s">
        <v>12</v>
      </c>
      <c r="E237" s="37">
        <f>G237+I237+K237+M237</f>
        <v>1940</v>
      </c>
      <c r="F237" s="37">
        <f>H237+J237+L237+N237</f>
        <v>940</v>
      </c>
      <c r="G237" s="38">
        <f>800+H237</f>
        <v>1690</v>
      </c>
      <c r="H237" s="38">
        <f>890</f>
        <v>890</v>
      </c>
      <c r="I237" s="38">
        <v>0</v>
      </c>
      <c r="J237" s="38">
        <v>0</v>
      </c>
      <c r="K237" s="38">
        <f>200</f>
        <v>200</v>
      </c>
      <c r="L237" s="38">
        <v>0</v>
      </c>
      <c r="M237" s="38">
        <v>50</v>
      </c>
      <c r="N237" s="38">
        <v>50</v>
      </c>
      <c r="O237" s="76"/>
      <c r="P237" s="1"/>
    </row>
    <row r="238" spans="1:16" ht="50.25" customHeight="1">
      <c r="A238" s="98"/>
      <c r="B238" s="104"/>
      <c r="C238" s="97"/>
      <c r="D238" s="18" t="s">
        <v>13</v>
      </c>
      <c r="E238" s="78" t="s">
        <v>60</v>
      </c>
      <c r="F238" s="79"/>
      <c r="G238" s="79"/>
      <c r="H238" s="79"/>
      <c r="I238" s="79"/>
      <c r="J238" s="79"/>
      <c r="K238" s="79"/>
      <c r="L238" s="79"/>
      <c r="M238" s="79"/>
      <c r="N238" s="80"/>
      <c r="O238" s="76"/>
      <c r="P238" s="3"/>
    </row>
    <row r="239" spans="1:16" ht="15.75" hidden="1">
      <c r="A239" s="98"/>
      <c r="B239" s="104"/>
      <c r="C239" s="18"/>
      <c r="D239" s="18" t="s">
        <v>14</v>
      </c>
      <c r="E239" s="81"/>
      <c r="F239" s="82"/>
      <c r="G239" s="82"/>
      <c r="H239" s="82"/>
      <c r="I239" s="82"/>
      <c r="J239" s="82"/>
      <c r="K239" s="82"/>
      <c r="L239" s="82"/>
      <c r="M239" s="82"/>
      <c r="N239" s="83"/>
      <c r="O239" s="76"/>
      <c r="P239" s="3"/>
    </row>
    <row r="240" spans="1:16" ht="15.75" hidden="1">
      <c r="A240" s="98"/>
      <c r="B240" s="104"/>
      <c r="C240" s="18"/>
      <c r="D240" s="18" t="s">
        <v>15</v>
      </c>
      <c r="E240" s="81"/>
      <c r="F240" s="82"/>
      <c r="G240" s="82"/>
      <c r="H240" s="82"/>
      <c r="I240" s="82"/>
      <c r="J240" s="82"/>
      <c r="K240" s="82"/>
      <c r="L240" s="82"/>
      <c r="M240" s="82"/>
      <c r="N240" s="83"/>
      <c r="O240" s="76"/>
      <c r="P240" s="3"/>
    </row>
    <row r="241" spans="1:16" ht="15.75" hidden="1">
      <c r="A241" s="98"/>
      <c r="B241" s="104"/>
      <c r="C241" s="18"/>
      <c r="D241" s="18" t="s">
        <v>16</v>
      </c>
      <c r="E241" s="81"/>
      <c r="F241" s="82"/>
      <c r="G241" s="82"/>
      <c r="H241" s="82"/>
      <c r="I241" s="82"/>
      <c r="J241" s="82"/>
      <c r="K241" s="82"/>
      <c r="L241" s="82"/>
      <c r="M241" s="82"/>
      <c r="N241" s="83"/>
      <c r="O241" s="76"/>
      <c r="P241" s="3"/>
    </row>
    <row r="242" spans="1:16" ht="15.75" hidden="1">
      <c r="A242" s="98"/>
      <c r="B242" s="104"/>
      <c r="C242" s="18"/>
      <c r="D242" s="18" t="s">
        <v>17</v>
      </c>
      <c r="E242" s="84"/>
      <c r="F242" s="85"/>
      <c r="G242" s="85"/>
      <c r="H242" s="85"/>
      <c r="I242" s="85"/>
      <c r="J242" s="85"/>
      <c r="K242" s="85"/>
      <c r="L242" s="85"/>
      <c r="M242" s="85"/>
      <c r="N242" s="86"/>
      <c r="O242" s="76"/>
      <c r="P242" s="3"/>
    </row>
    <row r="243" spans="1:16" s="13" customFormat="1" ht="15.75">
      <c r="A243" s="98"/>
      <c r="B243" s="68" t="s">
        <v>41</v>
      </c>
      <c r="C243" s="53"/>
      <c r="D243" s="19" t="s">
        <v>11</v>
      </c>
      <c r="E243" s="37">
        <f>SUM(E244:E249)</f>
        <v>3088.8999999999996</v>
      </c>
      <c r="F243" s="37">
        <f aca="true" t="shared" si="85" ref="F243:N243">SUM(F244:F249)</f>
        <v>876.2</v>
      </c>
      <c r="G243" s="37">
        <f t="shared" si="85"/>
        <v>3040.8999999999996</v>
      </c>
      <c r="H243" s="37">
        <f t="shared" si="85"/>
        <v>828.2</v>
      </c>
      <c r="I243" s="37">
        <f t="shared" si="85"/>
        <v>0</v>
      </c>
      <c r="J243" s="37">
        <f t="shared" si="85"/>
        <v>0</v>
      </c>
      <c r="K243" s="37">
        <f t="shared" si="85"/>
        <v>0</v>
      </c>
      <c r="L243" s="37">
        <f t="shared" si="85"/>
        <v>0</v>
      </c>
      <c r="M243" s="37">
        <f t="shared" si="85"/>
        <v>48</v>
      </c>
      <c r="N243" s="37">
        <f t="shared" si="85"/>
        <v>48</v>
      </c>
      <c r="O243" s="76"/>
      <c r="P243" s="3"/>
    </row>
    <row r="244" spans="1:16" s="2" customFormat="1" ht="25.5">
      <c r="A244" s="98"/>
      <c r="B244" s="68"/>
      <c r="C244" s="49" t="s">
        <v>87</v>
      </c>
      <c r="D244" s="18" t="s">
        <v>12</v>
      </c>
      <c r="E244" s="37">
        <f aca="true" t="shared" si="86" ref="E244:F249">G244+I244+K244+M244</f>
        <v>362.1</v>
      </c>
      <c r="F244" s="37">
        <f t="shared" si="86"/>
        <v>248</v>
      </c>
      <c r="G244" s="38">
        <v>314.1</v>
      </c>
      <c r="H244" s="38">
        <v>200</v>
      </c>
      <c r="I244" s="38"/>
      <c r="J244" s="38">
        <v>0</v>
      </c>
      <c r="K244" s="38">
        <v>0</v>
      </c>
      <c r="L244" s="38">
        <v>0</v>
      </c>
      <c r="M244" s="38">
        <v>48</v>
      </c>
      <c r="N244" s="38">
        <f>M244</f>
        <v>48</v>
      </c>
      <c r="O244" s="76"/>
      <c r="P244" s="1"/>
    </row>
    <row r="245" spans="1:16" ht="25.5" customHeight="1">
      <c r="A245" s="98"/>
      <c r="B245" s="68"/>
      <c r="C245" s="93" t="s">
        <v>65</v>
      </c>
      <c r="D245" s="18" t="s">
        <v>13</v>
      </c>
      <c r="E245" s="37">
        <f t="shared" si="86"/>
        <v>1470.4</v>
      </c>
      <c r="F245" s="37">
        <f t="shared" si="86"/>
        <v>314.1</v>
      </c>
      <c r="G245" s="38">
        <f>314.1+1156.3</f>
        <v>1470.4</v>
      </c>
      <c r="H245" s="38">
        <v>314.1</v>
      </c>
      <c r="I245" s="38">
        <v>0</v>
      </c>
      <c r="J245" s="38">
        <v>0</v>
      </c>
      <c r="K245" s="38">
        <f>1.2*K244</f>
        <v>0</v>
      </c>
      <c r="L245" s="38">
        <v>0</v>
      </c>
      <c r="M245" s="38">
        <v>0</v>
      </c>
      <c r="N245" s="38">
        <v>0</v>
      </c>
      <c r="O245" s="76"/>
      <c r="P245" s="16"/>
    </row>
    <row r="246" spans="1:16" ht="15" customHeight="1">
      <c r="A246" s="98"/>
      <c r="B246" s="68"/>
      <c r="C246" s="93"/>
      <c r="D246" s="18" t="s">
        <v>14</v>
      </c>
      <c r="E246" s="37">
        <f t="shared" si="86"/>
        <v>314.1</v>
      </c>
      <c r="F246" s="37">
        <f t="shared" si="86"/>
        <v>314.1</v>
      </c>
      <c r="G246" s="38">
        <f>H246</f>
        <v>314.1</v>
      </c>
      <c r="H246" s="38">
        <v>314.1</v>
      </c>
      <c r="I246" s="38">
        <v>0</v>
      </c>
      <c r="J246" s="38">
        <v>0</v>
      </c>
      <c r="K246" s="38">
        <f>1.2*K245</f>
        <v>0</v>
      </c>
      <c r="L246" s="38">
        <v>0</v>
      </c>
      <c r="M246" s="38">
        <v>0</v>
      </c>
      <c r="N246" s="38">
        <v>0</v>
      </c>
      <c r="O246" s="76"/>
      <c r="P246" s="3"/>
    </row>
    <row r="247" spans="1:16" ht="15.75">
      <c r="A247" s="98"/>
      <c r="B247" s="68"/>
      <c r="C247" s="93"/>
      <c r="D247" s="18" t="s">
        <v>15</v>
      </c>
      <c r="E247" s="37">
        <f t="shared" si="86"/>
        <v>314.1</v>
      </c>
      <c r="F247" s="37">
        <f t="shared" si="86"/>
        <v>0</v>
      </c>
      <c r="G247" s="38">
        <f>G246</f>
        <v>314.1</v>
      </c>
      <c r="H247" s="38">
        <v>0</v>
      </c>
      <c r="I247" s="38">
        <v>0</v>
      </c>
      <c r="J247" s="38">
        <v>0</v>
      </c>
      <c r="K247" s="38">
        <f>1.2*K246</f>
        <v>0</v>
      </c>
      <c r="L247" s="38">
        <v>0</v>
      </c>
      <c r="M247" s="38">
        <v>0</v>
      </c>
      <c r="N247" s="38">
        <v>0</v>
      </c>
      <c r="O247" s="76"/>
      <c r="P247" s="3"/>
    </row>
    <row r="248" spans="1:16" ht="15.75">
      <c r="A248" s="98"/>
      <c r="B248" s="68"/>
      <c r="C248" s="93"/>
      <c r="D248" s="18" t="s">
        <v>16</v>
      </c>
      <c r="E248" s="37">
        <f t="shared" si="86"/>
        <v>314.1</v>
      </c>
      <c r="F248" s="37">
        <f t="shared" si="86"/>
        <v>0</v>
      </c>
      <c r="G248" s="38">
        <f>G247</f>
        <v>314.1</v>
      </c>
      <c r="H248" s="38">
        <v>0</v>
      </c>
      <c r="I248" s="38">
        <v>0</v>
      </c>
      <c r="J248" s="38">
        <v>0</v>
      </c>
      <c r="K248" s="38">
        <f>1.2*K247</f>
        <v>0</v>
      </c>
      <c r="L248" s="38">
        <v>0</v>
      </c>
      <c r="M248" s="38">
        <v>0</v>
      </c>
      <c r="N248" s="38">
        <v>0</v>
      </c>
      <c r="O248" s="76"/>
      <c r="P248" s="3"/>
    </row>
    <row r="249" spans="1:16" ht="15.75">
      <c r="A249" s="99"/>
      <c r="B249" s="68"/>
      <c r="C249" s="94"/>
      <c r="D249" s="18" t="s">
        <v>17</v>
      </c>
      <c r="E249" s="37">
        <f t="shared" si="86"/>
        <v>314.1</v>
      </c>
      <c r="F249" s="37">
        <f t="shared" si="86"/>
        <v>0</v>
      </c>
      <c r="G249" s="38">
        <f>G248</f>
        <v>314.1</v>
      </c>
      <c r="H249" s="38">
        <v>0</v>
      </c>
      <c r="I249" s="38">
        <v>0</v>
      </c>
      <c r="J249" s="38">
        <v>0</v>
      </c>
      <c r="K249" s="38">
        <f>1.2*K248</f>
        <v>0</v>
      </c>
      <c r="L249" s="38">
        <v>0</v>
      </c>
      <c r="M249" s="38">
        <v>0</v>
      </c>
      <c r="N249" s="38">
        <v>0</v>
      </c>
      <c r="O249" s="76"/>
      <c r="P249" s="3"/>
    </row>
    <row r="250" spans="1:16" ht="15.75">
      <c r="A250" s="100"/>
      <c r="B250" s="105" t="s">
        <v>54</v>
      </c>
      <c r="C250" s="103"/>
      <c r="D250" s="19" t="s">
        <v>11</v>
      </c>
      <c r="E250" s="37">
        <f>SUM(E251:E256)</f>
        <v>2681288.09</v>
      </c>
      <c r="F250" s="37">
        <f aca="true" t="shared" si="87" ref="F250:L250">SUM(F251:F256)</f>
        <v>1809046.7400000002</v>
      </c>
      <c r="G250" s="37">
        <f t="shared" si="87"/>
        <v>1723487.8900000001</v>
      </c>
      <c r="H250" s="37">
        <f t="shared" si="87"/>
        <v>1202441.1400000001</v>
      </c>
      <c r="I250" s="37">
        <f t="shared" si="87"/>
        <v>9657.8</v>
      </c>
      <c r="J250" s="37">
        <f t="shared" si="87"/>
        <v>0</v>
      </c>
      <c r="K250" s="37">
        <f t="shared" si="87"/>
        <v>581213.6</v>
      </c>
      <c r="L250" s="37">
        <f t="shared" si="87"/>
        <v>288486.10000000003</v>
      </c>
      <c r="M250" s="37">
        <f>SUM(M251:M256)</f>
        <v>366928.8</v>
      </c>
      <c r="N250" s="37">
        <f>SUM(N251:N256)</f>
        <v>318119.5</v>
      </c>
      <c r="O250" s="76"/>
      <c r="P250" s="3"/>
    </row>
    <row r="251" spans="1:16" s="13" customFormat="1" ht="15.75">
      <c r="A251" s="100"/>
      <c r="B251" s="105"/>
      <c r="C251" s="98"/>
      <c r="D251" s="19" t="s">
        <v>12</v>
      </c>
      <c r="E251" s="37">
        <f aca="true" t="shared" si="88" ref="E251:F256">G251+I251+K251+M251</f>
        <v>423497.10000000003</v>
      </c>
      <c r="F251" s="37">
        <f>H251+J251+L251+N251</f>
        <v>369330.50000000006</v>
      </c>
      <c r="G251" s="37">
        <f aca="true" t="shared" si="89" ref="G251:N251">G34+G76+G104+G167</f>
        <v>287073</v>
      </c>
      <c r="H251" s="37">
        <f t="shared" si="89"/>
        <v>242825.40000000002</v>
      </c>
      <c r="I251" s="37">
        <f t="shared" si="89"/>
        <v>3225</v>
      </c>
      <c r="J251" s="37">
        <f t="shared" si="89"/>
        <v>0</v>
      </c>
      <c r="K251" s="37">
        <f t="shared" si="89"/>
        <v>69836.9</v>
      </c>
      <c r="L251" s="37">
        <f t="shared" si="89"/>
        <v>63142.9</v>
      </c>
      <c r="M251" s="37">
        <f t="shared" si="89"/>
        <v>63362.2</v>
      </c>
      <c r="N251" s="37">
        <f t="shared" si="89"/>
        <v>63362.2</v>
      </c>
      <c r="O251" s="76"/>
      <c r="P251" s="3"/>
    </row>
    <row r="252" spans="1:16" s="13" customFormat="1" ht="15.75">
      <c r="A252" s="100"/>
      <c r="B252" s="105"/>
      <c r="C252" s="98"/>
      <c r="D252" s="19" t="s">
        <v>13</v>
      </c>
      <c r="E252" s="37">
        <f t="shared" si="88"/>
        <v>415534.89</v>
      </c>
      <c r="F252" s="37">
        <f t="shared" si="88"/>
        <v>393154.04000000004</v>
      </c>
      <c r="G252" s="37">
        <f aca="true" t="shared" si="90" ref="G252:I256">G35+G77+G105+G168</f>
        <v>268270.99</v>
      </c>
      <c r="H252" s="37">
        <f t="shared" si="90"/>
        <v>255911.14</v>
      </c>
      <c r="I252" s="37">
        <f t="shared" si="90"/>
        <v>3297.5</v>
      </c>
      <c r="J252" s="37">
        <v>0</v>
      </c>
      <c r="K252" s="37">
        <f aca="true" t="shared" si="91" ref="K252:N256">K35+K77+K105+K168</f>
        <v>68949.3</v>
      </c>
      <c r="L252" s="37">
        <f t="shared" si="91"/>
        <v>62225.8</v>
      </c>
      <c r="M252" s="37">
        <f t="shared" si="91"/>
        <v>75017.1</v>
      </c>
      <c r="N252" s="37">
        <f t="shared" si="91"/>
        <v>75017.1</v>
      </c>
      <c r="O252" s="76"/>
      <c r="P252" s="3"/>
    </row>
    <row r="253" spans="1:16" s="13" customFormat="1" ht="15.75">
      <c r="A253" s="100"/>
      <c r="B253" s="105"/>
      <c r="C253" s="98"/>
      <c r="D253" s="19" t="s">
        <v>14</v>
      </c>
      <c r="E253" s="37">
        <f t="shared" si="88"/>
        <v>476059.1</v>
      </c>
      <c r="F253" s="37">
        <f t="shared" si="88"/>
        <v>458652.70000000007</v>
      </c>
      <c r="G253" s="37">
        <f t="shared" si="90"/>
        <v>277844.1</v>
      </c>
      <c r="H253" s="37">
        <f t="shared" si="90"/>
        <v>267597.4</v>
      </c>
      <c r="I253" s="37">
        <f t="shared" si="90"/>
        <v>3135.3</v>
      </c>
      <c r="J253" s="37">
        <f>J36+J78+J106+J169</f>
        <v>0</v>
      </c>
      <c r="K253" s="37">
        <f t="shared" si="91"/>
        <v>112958.09999999999</v>
      </c>
      <c r="L253" s="37">
        <f t="shared" si="91"/>
        <v>108933.7</v>
      </c>
      <c r="M253" s="37">
        <f t="shared" si="91"/>
        <v>82121.6</v>
      </c>
      <c r="N253" s="37">
        <f t="shared" si="91"/>
        <v>82121.6</v>
      </c>
      <c r="O253" s="76"/>
      <c r="P253" s="3"/>
    </row>
    <row r="254" spans="1:16" s="13" customFormat="1" ht="15.75">
      <c r="A254" s="100"/>
      <c r="B254" s="105"/>
      <c r="C254" s="98"/>
      <c r="D254" s="19" t="s">
        <v>15</v>
      </c>
      <c r="E254" s="37">
        <f t="shared" si="88"/>
        <v>455398.99999999994</v>
      </c>
      <c r="F254" s="37">
        <f t="shared" si="88"/>
        <v>293971.2</v>
      </c>
      <c r="G254" s="37">
        <f t="shared" si="90"/>
        <v>296766.6</v>
      </c>
      <c r="H254" s="37">
        <f t="shared" si="90"/>
        <v>218053.6</v>
      </c>
      <c r="I254" s="37">
        <f t="shared" si="90"/>
        <v>0</v>
      </c>
      <c r="J254" s="37">
        <f>J37+J79+J107+J170</f>
        <v>0</v>
      </c>
      <c r="K254" s="37">
        <f>K37+K79+K107+K170</f>
        <v>109823.09999999999</v>
      </c>
      <c r="L254" s="37">
        <f t="shared" si="91"/>
        <v>27108.3</v>
      </c>
      <c r="M254" s="37">
        <f t="shared" si="91"/>
        <v>48809.3</v>
      </c>
      <c r="N254" s="37">
        <f t="shared" si="91"/>
        <v>48809.3</v>
      </c>
      <c r="O254" s="76"/>
      <c r="P254" s="3"/>
    </row>
    <row r="255" spans="1:16" s="13" customFormat="1" ht="15.75">
      <c r="A255" s="100"/>
      <c r="B255" s="105"/>
      <c r="C255" s="98"/>
      <c r="D255" s="19" t="s">
        <v>16</v>
      </c>
      <c r="E255" s="37">
        <f t="shared" si="88"/>
        <v>455398.99999999994</v>
      </c>
      <c r="F255" s="37">
        <f t="shared" si="88"/>
        <v>293938.3</v>
      </c>
      <c r="G255" s="37">
        <f t="shared" si="90"/>
        <v>296766.6</v>
      </c>
      <c r="H255" s="37">
        <f t="shared" si="90"/>
        <v>218053.6</v>
      </c>
      <c r="I255" s="37">
        <f t="shared" si="90"/>
        <v>0</v>
      </c>
      <c r="J255" s="37">
        <f>J38+J80+J108+J171</f>
        <v>0</v>
      </c>
      <c r="K255" s="37">
        <f t="shared" si="91"/>
        <v>109823.09999999999</v>
      </c>
      <c r="L255" s="37">
        <f t="shared" si="91"/>
        <v>27075.399999999998</v>
      </c>
      <c r="M255" s="37">
        <f t="shared" si="91"/>
        <v>48809.3</v>
      </c>
      <c r="N255" s="37">
        <f t="shared" si="91"/>
        <v>48809.3</v>
      </c>
      <c r="O255" s="76"/>
      <c r="P255" s="3"/>
    </row>
    <row r="256" spans="1:16" s="13" customFormat="1" ht="15.75">
      <c r="A256" s="100"/>
      <c r="B256" s="105"/>
      <c r="C256" s="99"/>
      <c r="D256" s="19" t="s">
        <v>17</v>
      </c>
      <c r="E256" s="37">
        <f t="shared" si="88"/>
        <v>455398.99999999994</v>
      </c>
      <c r="F256" s="37">
        <f t="shared" si="88"/>
        <v>0</v>
      </c>
      <c r="G256" s="37">
        <f t="shared" si="90"/>
        <v>296766.6</v>
      </c>
      <c r="H256" s="37">
        <f t="shared" si="90"/>
        <v>0</v>
      </c>
      <c r="I256" s="37">
        <f t="shared" si="90"/>
        <v>0</v>
      </c>
      <c r="J256" s="37">
        <f>J39+J81+J109+J172</f>
        <v>0</v>
      </c>
      <c r="K256" s="37">
        <f t="shared" si="91"/>
        <v>109823.09999999999</v>
      </c>
      <c r="L256" s="37">
        <f t="shared" si="91"/>
        <v>0</v>
      </c>
      <c r="M256" s="37">
        <f t="shared" si="91"/>
        <v>48809.3</v>
      </c>
      <c r="N256" s="37">
        <f t="shared" si="91"/>
        <v>0</v>
      </c>
      <c r="O256" s="77"/>
      <c r="P256" s="3"/>
    </row>
    <row r="257" spans="1:16" s="13" customFormat="1" ht="15.75" hidden="1">
      <c r="A257" s="4"/>
      <c r="B257" s="5"/>
      <c r="C257" s="6"/>
      <c r="D257" s="6"/>
      <c r="E257" s="7"/>
      <c r="F257" s="7">
        <v>2015</v>
      </c>
      <c r="G257" s="17"/>
      <c r="H257" s="6"/>
      <c r="I257" s="6"/>
      <c r="J257" s="6"/>
      <c r="K257" s="6"/>
      <c r="L257" s="6"/>
      <c r="M257" s="6"/>
      <c r="N257" s="6"/>
      <c r="O257" s="8"/>
      <c r="P257" s="3"/>
    </row>
    <row r="258" spans="2:10" ht="15.75" hidden="1">
      <c r="B258" s="34"/>
      <c r="C258" s="34"/>
      <c r="D258" s="34"/>
      <c r="E258" s="34"/>
      <c r="F258" s="7">
        <v>2016</v>
      </c>
      <c r="G258" s="17">
        <f>G252-H252</f>
        <v>12359.849999999977</v>
      </c>
      <c r="H258" s="17">
        <f>4835.1+1025.3+4825.53+1673.94</f>
        <v>12359.87</v>
      </c>
      <c r="I258" s="33" t="s">
        <v>57</v>
      </c>
      <c r="J258" s="33"/>
    </row>
    <row r="259" spans="2:10" ht="15.75" hidden="1">
      <c r="B259" s="34" t="s">
        <v>56</v>
      </c>
      <c r="C259" s="34"/>
      <c r="D259" s="34"/>
      <c r="E259" s="34"/>
      <c r="F259" s="7">
        <v>2017</v>
      </c>
      <c r="G259" s="24">
        <f>G253-H253</f>
        <v>10246.699999999953</v>
      </c>
      <c r="H259" s="17">
        <f>4493.43+542.32+1684.97+3426.98</f>
        <v>10147.7</v>
      </c>
      <c r="I259" s="33" t="s">
        <v>57</v>
      </c>
      <c r="J259" s="33"/>
    </row>
    <row r="260" spans="6:8" ht="15.75" hidden="1">
      <c r="F260" s="7">
        <v>2018</v>
      </c>
      <c r="G260" s="17">
        <f>G254-H254</f>
        <v>78712.99999999997</v>
      </c>
      <c r="H260" s="17"/>
    </row>
    <row r="261" ht="15.75">
      <c r="G261" s="17"/>
    </row>
  </sheetData>
  <sheetProtection/>
  <mergeCells count="109">
    <mergeCell ref="B19:B25"/>
    <mergeCell ref="O19:O32"/>
    <mergeCell ref="C21:C25"/>
    <mergeCell ref="C28:C32"/>
    <mergeCell ref="A26:A32"/>
    <mergeCell ref="B26:B32"/>
    <mergeCell ref="O33:O74"/>
    <mergeCell ref="O75:O95"/>
    <mergeCell ref="E91:N95"/>
    <mergeCell ref="C70:C74"/>
    <mergeCell ref="C77:C81"/>
    <mergeCell ref="C35:C39"/>
    <mergeCell ref="C85:C88"/>
    <mergeCell ref="C43:C46"/>
    <mergeCell ref="D12:D14"/>
    <mergeCell ref="E12:F13"/>
    <mergeCell ref="G12:N12"/>
    <mergeCell ref="O12:O13"/>
    <mergeCell ref="G13:H13"/>
    <mergeCell ref="I13:J13"/>
    <mergeCell ref="K13:L13"/>
    <mergeCell ref="M13:N13"/>
    <mergeCell ref="B180:B186"/>
    <mergeCell ref="B152:B158"/>
    <mergeCell ref="B250:B256"/>
    <mergeCell ref="B215:B221"/>
    <mergeCell ref="B187:B193"/>
    <mergeCell ref="B173:B179"/>
    <mergeCell ref="B243:B249"/>
    <mergeCell ref="I259:J259"/>
    <mergeCell ref="I258:J258"/>
    <mergeCell ref="B258:E258"/>
    <mergeCell ref="B201:B207"/>
    <mergeCell ref="B259:E259"/>
    <mergeCell ref="C250:C256"/>
    <mergeCell ref="C236:C238"/>
    <mergeCell ref="C229:C231"/>
    <mergeCell ref="C222:C224"/>
    <mergeCell ref="C215:C217"/>
    <mergeCell ref="B145:B151"/>
    <mergeCell ref="C12:C14"/>
    <mergeCell ref="C96:C102"/>
    <mergeCell ref="A19:A25"/>
    <mergeCell ref="C119:C123"/>
    <mergeCell ref="A16:O16"/>
    <mergeCell ref="A17:O17"/>
    <mergeCell ref="A18:O18"/>
    <mergeCell ref="A12:A14"/>
    <mergeCell ref="B12:B14"/>
    <mergeCell ref="B40:B46"/>
    <mergeCell ref="B47:B53"/>
    <mergeCell ref="B138:B144"/>
    <mergeCell ref="E49:N53"/>
    <mergeCell ref="C47:C49"/>
    <mergeCell ref="C89:C91"/>
    <mergeCell ref="C63:C67"/>
    <mergeCell ref="B54:B60"/>
    <mergeCell ref="B89:B95"/>
    <mergeCell ref="B110:B116"/>
    <mergeCell ref="B82:B88"/>
    <mergeCell ref="B61:B67"/>
    <mergeCell ref="B68:B74"/>
    <mergeCell ref="A8:O8"/>
    <mergeCell ref="A1:O1"/>
    <mergeCell ref="A2:O2"/>
    <mergeCell ref="L3:O6"/>
    <mergeCell ref="B236:B242"/>
    <mergeCell ref="B104:B109"/>
    <mergeCell ref="B34:B39"/>
    <mergeCell ref="B76:B81"/>
    <mergeCell ref="B167:B172"/>
    <mergeCell ref="B124:B130"/>
    <mergeCell ref="B117:B123"/>
    <mergeCell ref="B159:B165"/>
    <mergeCell ref="B131:B137"/>
    <mergeCell ref="B96:B102"/>
    <mergeCell ref="B194:B200"/>
    <mergeCell ref="B222:B228"/>
    <mergeCell ref="B229:B235"/>
    <mergeCell ref="B208:B214"/>
    <mergeCell ref="A250:A256"/>
    <mergeCell ref="A103:A165"/>
    <mergeCell ref="A33:A74"/>
    <mergeCell ref="A75:A95"/>
    <mergeCell ref="A166:A249"/>
    <mergeCell ref="C168:C172"/>
    <mergeCell ref="C176:C179"/>
    <mergeCell ref="C182:C186"/>
    <mergeCell ref="C245:C249"/>
    <mergeCell ref="C194:C196"/>
    <mergeCell ref="C187:C189"/>
    <mergeCell ref="E140:N144"/>
    <mergeCell ref="O103:O165"/>
    <mergeCell ref="E133:N137"/>
    <mergeCell ref="C126:C130"/>
    <mergeCell ref="C161:C165"/>
    <mergeCell ref="C113:C116"/>
    <mergeCell ref="C105:C109"/>
    <mergeCell ref="C145:C147"/>
    <mergeCell ref="C138:C140"/>
    <mergeCell ref="C131:C133"/>
    <mergeCell ref="O166:O256"/>
    <mergeCell ref="E147:N151"/>
    <mergeCell ref="E189:N193"/>
    <mergeCell ref="E196:N200"/>
    <mergeCell ref="E217:N221"/>
    <mergeCell ref="E224:N228"/>
    <mergeCell ref="E231:N235"/>
    <mergeCell ref="E238:N242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2018-01-12T03:38:21Z</cp:lastPrinted>
  <dcterms:created xsi:type="dcterms:W3CDTF">2014-06-24T05:35:40Z</dcterms:created>
  <dcterms:modified xsi:type="dcterms:W3CDTF">2018-01-12T03:41:02Z</dcterms:modified>
  <cp:category/>
  <cp:version/>
  <cp:contentType/>
  <cp:contentStatus/>
</cp:coreProperties>
</file>