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прил." sheetId="1" r:id="rId1"/>
  </sheets>
  <definedNames>
    <definedName name="_xlnm.Print_Titles" localSheetId="0">'прил.'!$11:$16</definedName>
    <definedName name="_xlnm.Print_Area" localSheetId="0">'прил.'!$A$1:$Q$373</definedName>
  </definedNames>
  <calcPr fullCalcOnLoad="1"/>
</workbook>
</file>

<file path=xl/sharedStrings.xml><?xml version="1.0" encoding="utf-8"?>
<sst xmlns="http://schemas.openxmlformats.org/spreadsheetml/2006/main" count="759" uniqueCount="405">
  <si>
    <t>№ п/п</t>
  </si>
  <si>
    <t>Вид работ</t>
  </si>
  <si>
    <t>ПИР</t>
  </si>
  <si>
    <t>СМР</t>
  </si>
  <si>
    <t>Строительство ул. Степановской в г. Томске</t>
  </si>
  <si>
    <t>Реконструкция ул.Д.Ключевской от ул.Пушкина до ул.Р.Люксембург</t>
  </si>
  <si>
    <t>Реконструкция укреплений откосов Береговой линии р. Ушайки в районе проспекта Комсомольского</t>
  </si>
  <si>
    <t>Капитальный ремонт ул. Мичурина на участке от строения № 108 до строения № 114</t>
  </si>
  <si>
    <t>Капитальный ремонт кольцевой транспортной развязки на пересечении Иркутского тракта и ул. Суворова</t>
  </si>
  <si>
    <t>Капитальный ремонт Коммунального моста через р.Томь. 2 очередь</t>
  </si>
  <si>
    <t>Капитальный ремонт ул. Р. Люксембург от ул. Д. Ключевской до Каменного моста</t>
  </si>
  <si>
    <t>Капитальный ремонт ул. Смирнова</t>
  </si>
  <si>
    <t>Капитальный ремонт ул.Старо – Деповская.</t>
  </si>
  <si>
    <t>Капитальный ремонт ул.Иркутский тракт от ул.Мичурина до границ города.</t>
  </si>
  <si>
    <t>Капитальный ремонт ул. Мичурина от ул. Новосибирская до ул.Беринга.</t>
  </si>
  <si>
    <t>Капитальный ремонт ул. Сергея Лазо.</t>
  </si>
  <si>
    <t>Капитальный ремонт ул.Ивановского.</t>
  </si>
  <si>
    <t>Капитальный ремонт ул. Герцена</t>
  </si>
  <si>
    <t>Капитальный ремонт ул.Усова.</t>
  </si>
  <si>
    <t>Капитальный ремонт ул. Учебной</t>
  </si>
  <si>
    <t>Капитальный ремонт ул. Большая Подгорная</t>
  </si>
  <si>
    <t>Капитальный ремонт ул.Б.Хмельницкого.</t>
  </si>
  <si>
    <t>Капитальный ремонт ул.Ломоносова.</t>
  </si>
  <si>
    <t>Капитальный ремонт ул. Д. Бедного.</t>
  </si>
  <si>
    <t>Капитальный ремонт пересечений (перекрестков) пр. Комсомольского, пр.  Фрунзе, пер.Плеханова. 1 этап.</t>
  </si>
  <si>
    <t>Капитальный ремонт подъездной дороги к кладбищу «Бактин».</t>
  </si>
  <si>
    <t>Примечание</t>
  </si>
  <si>
    <t>Стоимость строительно-монтажных работ будет определена после получения положительного заключения государственной экспертизы</t>
  </si>
  <si>
    <t>Строительство ул. Л. Толстого от пр. Фрунзе до ул. Б. Хмельницкого (в том числе строительство транспортной развязки через ж/д пути на перегоне Томск-1 - Томск-2)</t>
  </si>
  <si>
    <t>Реконструкция ул. Московский тракт</t>
  </si>
  <si>
    <t>Реконструкция Степановского железнодорожного переезда по ул. Шевченко-ул. Ломоносова</t>
  </si>
  <si>
    <t>Строительство двух уровневой транспортной развязки на пересечении ул. Красноармейская, ул. Нахимова, ул. Елизаровых (пл. Транспортная)</t>
  </si>
  <si>
    <t>Капитальный ремонт тротуаров по ул. Алеутской в г. Томске</t>
  </si>
  <si>
    <t>Капитальный ремонт ул.5-ой Армии и ул. Ижевской</t>
  </si>
  <si>
    <t>Стоимость строительно-монтажных работ будет определена после получения заключения о достоверности определения сметной стоимости</t>
  </si>
  <si>
    <t>Стоимость строительно-монтажных работ будет определена после получения отчета оценки технического состояния мостовых переходов, разработки проектной и рабочей документации заключения о достоверности определения сметной стоимости</t>
  </si>
  <si>
    <t>Протяженность, км</t>
  </si>
  <si>
    <t>Строительство подъездной а/д к посёлку индивидуальной жилой застройки в районе п.Киргизка.</t>
  </si>
  <si>
    <t>Строительство автодорожного моста  через р.Ушайка с подходами по ул. Петропавловская.</t>
  </si>
  <si>
    <t>Строительство ул.И.Черных от ул. Мичурина до ул.Б.Куна.</t>
  </si>
  <si>
    <t>Строительство тротуаров по улицам Кутузова, Асиновская, Алеутская</t>
  </si>
  <si>
    <t>Строительство ул. Елизаровых от ул. Шевченко до ул. Клюева</t>
  </si>
  <si>
    <t>Реконструкция ул. Герасименко от ул. Беринга до ул. Бирюкова</t>
  </si>
  <si>
    <t>Капитальный ремонт ул. Бирюкова от ул. Клюева до ул. Обручева</t>
  </si>
  <si>
    <t>Капитальный ремонт ул. Ф. Мюнниха</t>
  </si>
  <si>
    <t>Капитальный ремонт пер. Светлый от пр. Мира до пер. Шегарский</t>
  </si>
  <si>
    <t>Капитальный ремонт ул. Севастопольской, ул. Коховской, ул. Ферганской, ул. Ангарской, ул. Учительской, ул. Обской, ул. Б. Каштачной</t>
  </si>
  <si>
    <t>Капитальный ремонт ул. Амурской, пер. Камский</t>
  </si>
  <si>
    <t>Капитальный ремонт пер. Спортивный</t>
  </si>
  <si>
    <t>Капитальный ремонт ул. Алтайской от пр. Комсомольского до ул. Сибирской</t>
  </si>
  <si>
    <t>Капитальный ремонт ул. С. Щедрина</t>
  </si>
  <si>
    <t>Капитальный ремонт ул. Никитина от пр. Комсомольского до ул. С. Разина</t>
  </si>
  <si>
    <t>Капитальный ремонт пер. Курский</t>
  </si>
  <si>
    <t>Строительство ул. Ю. Ковалева от ул. Обручева до ул. Герасименко</t>
  </si>
  <si>
    <t>Капитальный ремонт ул. 1-й Вилюйский проезд (по решению суда)</t>
  </si>
  <si>
    <t>Капитальный ремонт путепровода на автомобильной дороге от ул. Мичурина до Кузовлевского тракта в направлении ТНХК</t>
  </si>
  <si>
    <t>Капитальный ремонт объектов улично-дорожной сети в пос. Степановка</t>
  </si>
  <si>
    <t>Капитальный ремонт объектов улично-дорожной сети пос. Заречный и СТ "Левобережье"</t>
  </si>
  <si>
    <t xml:space="preserve">Капитальный ремонт объектов улично-дорожной сети в мкр. Академический </t>
  </si>
  <si>
    <t>Капитальный ремонт объектов улично-дорожной сети в мкр. Наука</t>
  </si>
  <si>
    <t>Капитальный ремонт объектов улично-дорожной сети в пос. Апрель</t>
  </si>
  <si>
    <t>Капитальный ремонт объектов улично-дорожной сети в городке Геологов</t>
  </si>
  <si>
    <t>Капитальный ремонт объектов улично-дорожной сети в пос. Заварзино</t>
  </si>
  <si>
    <t>Капитальный ремонт объектов улично-дорожной сети в пос. Залесье</t>
  </si>
  <si>
    <t>Капитальный ремонт объектов улично-дорожной сети в пос. Кузовлево</t>
  </si>
  <si>
    <t>Капитальный ремонт объектов улично-дорожной сети в пос. Предтеченск</t>
  </si>
  <si>
    <t>Капитальный ремонт объектов улично-дорожной сети в мкр. 2-ой Академический (Поле Чудес)</t>
  </si>
  <si>
    <t>Капитальный ремонт объектов улично-дорожной с ети в пос. Просторный</t>
  </si>
  <si>
    <t>Капитальный ремонт объектов улично-дорожной сети в пос. Родионово</t>
  </si>
  <si>
    <t>Капитальный ремонт объектов улично-дорожной сети в пос. Росинка</t>
  </si>
  <si>
    <t>Капитальный ремонт объектов улично-дорожной сети в пос. Басандайка</t>
  </si>
  <si>
    <t>Капитальный ремонт объектов улично-дорожной сети в д. Лоскутово</t>
  </si>
  <si>
    <t>Капитальный ремонт объектов улично-дорожной сети в мкр. Реженка</t>
  </si>
  <si>
    <t>Капитальный ремонт объектов улично-дорожной сети в пос. Светлый</t>
  </si>
  <si>
    <t>Капитальный ремонт объектов улично-дорожной сети в д. Эушта</t>
  </si>
  <si>
    <t>Капитальный ремонт улично-дорожной сети в пос. Нижний Склад</t>
  </si>
  <si>
    <t>Капитальный ремонт объектов улично-дорожной сети в с. Дзержинское</t>
  </si>
  <si>
    <t>Капитальный ремонт объектов улично-дорожной сети в пос. 2-ой Заречный</t>
  </si>
  <si>
    <t>Капитальный ремонт объектов улично-дорожной сети в с. Тимирязевское</t>
  </si>
  <si>
    <t>Капитальный ремонт ул. Трудовой</t>
  </si>
  <si>
    <t>Капитальный ремонт ул. М. Горького и ул. А. Беленца</t>
  </si>
  <si>
    <t>Капитальный ремонт ул. Черемуховая, ул Поляночная, ул. Урманская, пер. Урочинский</t>
  </si>
  <si>
    <t>Капитальный ремонт ул. Парковой, ул.зовского, ул. Междугородней, ул. Грузинской, ул. Е. Пугачева</t>
  </si>
  <si>
    <t>Капитальный ремонт пер. Овражный</t>
  </si>
  <si>
    <t>Реконструкция ул. Дзержинского</t>
  </si>
  <si>
    <t>Капитальный ремонт ул. Дружбы, ул. Депутатской</t>
  </si>
  <si>
    <t>Капитальный ремонт ул. Героев Чубаровцев</t>
  </si>
  <si>
    <t>Капитальный ремонт ул. Пролетарской</t>
  </si>
  <si>
    <t>Капитальный ремонт ул. Писемского 1 очередь</t>
  </si>
  <si>
    <t>Срок исполнения</t>
  </si>
  <si>
    <t>потребность</t>
  </si>
  <si>
    <t>утверждено</t>
  </si>
  <si>
    <t>Объем финансирования 
(тыс. рублей)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</si>
  <si>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</si>
  <si>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</si>
  <si>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</si>
  <si>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</si>
  <si>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1.1.</t>
  </si>
  <si>
    <t>Всего</t>
  </si>
  <si>
    <t>Строительство объектов улично-дорожной сети, в том числе:</t>
  </si>
  <si>
    <t>1.1.21</t>
  </si>
  <si>
    <t>1.1.22</t>
  </si>
  <si>
    <t>1.1.23</t>
  </si>
  <si>
    <t>1.1.24</t>
  </si>
  <si>
    <t>1.1.1</t>
  </si>
  <si>
    <t>1.1.2</t>
  </si>
  <si>
    <t>1.1.4</t>
  </si>
  <si>
    <t>1.1.5</t>
  </si>
  <si>
    <t>1.1.6</t>
  </si>
  <si>
    <t>1.1.7</t>
  </si>
  <si>
    <t>Реконструкция объектов улично-дорожной сети, в том числе:</t>
  </si>
  <si>
    <t>Капитальный ремонт объектов улично-дорожной сети, в том числе:</t>
  </si>
  <si>
    <t>ИТОГО по задаче 1, в том числе:</t>
  </si>
  <si>
    <t>Капитальный ремонт ул. Бердской от пр. Ленина до ул. Мельничная</t>
  </si>
  <si>
    <t>Капитальный ремонт подземного пешеходного перехода по ул. Иркутский тракт, 112</t>
  </si>
  <si>
    <t>Капитальный ремонт ул. Войкова</t>
  </si>
  <si>
    <t>Капитальный ремонт ул. Водяная</t>
  </si>
  <si>
    <t>Капитальный ремонт ул. Парковая</t>
  </si>
  <si>
    <t>Капитальный ремонт пер. Беленца</t>
  </si>
  <si>
    <t>Капитальный ремонт ул. 1-я Заречная, 2-я Заречная, 3-я Заречная, 4-я Заречная, 5-я Заречная</t>
  </si>
  <si>
    <t>Капитальный ремонт пер. Южный</t>
  </si>
  <si>
    <t>Капитальный ремонт ул. Новгородской</t>
  </si>
  <si>
    <t>Строительство ул. Обручева от ул. Беринга до ул. Клюева в г. Томске.</t>
  </si>
  <si>
    <t>Строительно-монтажные работы</t>
  </si>
  <si>
    <t>Строительство надземного пешеходного перехода по ул. Красноармейской (на участке между пл. Транспортной и пл. Южной)</t>
  </si>
  <si>
    <t>Строительство транспортно-пешеходной связи МКР ИЖС "Залесье" и п. Степановка по ул. Рябиновой и ул. Малиновой до пер. Азиатского, ул. Пархоменко до ул. Б. Хмельницкого</t>
  </si>
  <si>
    <t>Строительство тротуаров по ул. Вершинина на участке от ул. Герцена до пер. Нечевский</t>
  </si>
  <si>
    <t>Строительство двух уровней транспортной развязки на пересечении пр. Комсомольский и ул. Сибирской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</si>
  <si>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 (10 шт.)</t>
  </si>
  <si>
    <t>В том числе, за счет средств</t>
  </si>
  <si>
    <t>Наименование целей, задач, мероприятий  подпрограммы</t>
  </si>
  <si>
    <t>1.625 кам. - работы по объекту выполнены. Дорога открыта для движения</t>
  </si>
  <si>
    <t>Строительство транспортной развязки в 2-х уровнях на пересечении пр. Комсомольского и ул. Пушкина - 2 этап.</t>
  </si>
  <si>
    <t>1.4 км. - работы по объекту выполнены. Дорога открыта для движения.</t>
  </si>
  <si>
    <t>1.1.3</t>
  </si>
  <si>
    <t>Капитальный ремонт ул. Советской от пл. Батенькова до пр. Кирова</t>
  </si>
  <si>
    <t>Задача 2 подпрограммы: Приведение улично-дорожной сети  в нормативное состояние</t>
  </si>
  <si>
    <t xml:space="preserve">Цель подпрограммы: Повышение доступности и безопасности улично-дорожной сети </t>
  </si>
  <si>
    <t xml:space="preserve">Задача 1 подпрограммы: Развитие улично-дорожной сети </t>
  </si>
  <si>
    <t>Капитальный ремонт ул. Советской от пр. Кирова до ул. Нахимова</t>
  </si>
  <si>
    <t>Капитальный ремонт пер. Плеханова от пр. Ленина до ул. Красноармейская</t>
  </si>
  <si>
    <t>Капитальный ремонт ул. Лебедева от  ул. Красноармейская до ул. Колхозная</t>
  </si>
  <si>
    <t xml:space="preserve">Капитальный ремонт пр.Фрунзе от пр. Ленина до ул. Елизаровых </t>
  </si>
  <si>
    <t>Капитальный ремонт пр. Кирова</t>
  </si>
  <si>
    <t>Капитальный ремонт ул. Энергетиков</t>
  </si>
  <si>
    <t>Капитальный ремонт тротуаров вдоль линий жилой застройки около школы № 66 по адресам: г. Томск, ул. Сплавная, 56, д. Эушта, ул. Школьная, 3</t>
  </si>
  <si>
    <t>Реконструкция железнодорожного переезда в пос. Степановка в районе ул. Шевченко</t>
  </si>
  <si>
    <t>1.1.11</t>
  </si>
  <si>
    <t>1.1.12</t>
  </si>
  <si>
    <t>1.1.14</t>
  </si>
  <si>
    <t>1.1.15</t>
  </si>
  <si>
    <t>1.1.16</t>
  </si>
  <si>
    <t>1.1.17</t>
  </si>
  <si>
    <t>1.1.18</t>
  </si>
  <si>
    <t>ПЕРЕЧЕНЬ МЕРОПРИЯТИЙ И РЕСУРСНОЕ ОБЕСПЕЧЕНИЕ ПОДПРОГРАММЫ 
"Развитие улично-дорожной сети"</t>
  </si>
  <si>
    <t>Приложение 1
к подпрограмме
"Развитие улично-дорожной сети"</t>
  </si>
  <si>
    <t>ИТОГО по задаче 2, в том числе:</t>
  </si>
  <si>
    <t>ИТОГО по задачам 1, 2, в том числе:</t>
  </si>
  <si>
    <t>2.2.1</t>
  </si>
  <si>
    <t>2</t>
  </si>
  <si>
    <t>Капитальный ремонт ул. Тимакова в г. Томске (от ул. Карпова до дома № 31а по ул. Тимакова)</t>
  </si>
  <si>
    <t>Средства предусмотрены в целях приварки заградительных решеток на вводах на автомагистрали по ул. Елизаровых от ул. Шевченко до ул. Клюева в г. Томске в районе г. Томск, ул. Кулагина, ½, строение 2; по уста-новлению на автомагистрали по ул. Елизаровых от ул. Шевченко до ул. Клюева в г. Томске, ул. Кулагина, ½, строение 2 в отстойнике водоотведения покрытия в виде решетки из арматуры размером 100х100 мм диаметром 12 мм в соответствии с проектом строительства автомагистрали; удалению загиба на выводе водоотводящей трубы, проходящей через автомагистраль ул. Елизаровых в г. Томске от ул. Шевченко до ул. Клюева в районе г. Томске, ул. Кулагина, ½, строение 2, разработке и выполнению его съемного крепления и укладке поверх лотка и канавы съемной решетки</t>
  </si>
  <si>
    <t>Реконструкция ул. Пушкина от ул. Яковлева до путепровода в районе ГПЗ-5</t>
  </si>
  <si>
    <t>Реконструкция путепровода в районе ГПЗ-5</t>
  </si>
  <si>
    <t>Реконструкция Ирктского тракта от ул. Мичурина, ул 1-я Рабочая, ул. Рабочая, ул. Мичурина</t>
  </si>
  <si>
    <t>Потребность на даигностику завершенных строительством автомобильных дорог с оформлением отчетов и изготовлением паспортов (устранение замечаний ФКУ "Росдортехнология)</t>
  </si>
  <si>
    <t>Потребность на диагностику завершенных строительством автомобильной дороги и мостового сооружения с оформлением отчетов и изготовлением паспортов (устранение замечаний ФКУ "Росдортехнология).</t>
  </si>
  <si>
    <t>Потребность на диагностику мостового сооружения с оформлением отчетов и изготовлением паспортов (устранение замечаний ФКУ "Росдортехнология).</t>
  </si>
  <si>
    <t>Строительство проезда по ул. Ковалева в микрорайоне № 13 жилого района "Восточный" в г. Томске</t>
  </si>
  <si>
    <t>Потребность на вводные мероприятия и корректировку проектной документации</t>
  </si>
  <si>
    <t>Стоимость строительно-монтажных работ будет уточнена после получения положительного заключения о достоверности определения сметной стоимости</t>
  </si>
  <si>
    <t>Капитальный ремонт моста через р. Ушайку по ул. Красноармейской</t>
  </si>
  <si>
    <t>Строительство транспортной развязки с ж.д. Тайга  - Томск на 76 км</t>
  </si>
  <si>
    <t>Реконструкция ул. Гоголя от ул. Никитина до ул. Алтайская</t>
  </si>
  <si>
    <t>Капитальный ремонт ул. Бакунина</t>
  </si>
  <si>
    <t>Капитальный ремонт объектов улично-дорожной сети в мкр. Каменка</t>
  </si>
  <si>
    <t xml:space="preserve">Капитальный ремонт пер. Маринского </t>
  </si>
  <si>
    <t>Капитальный ремонт ул. Ново-Киевской</t>
  </si>
  <si>
    <t>Строительство нового автодорожного моста через р. Ушайку в районе пер. Б. Хмельницкого</t>
  </si>
  <si>
    <t>Капитальный ремонт трубы на оз. Керепеть на ул. Трудовая</t>
  </si>
  <si>
    <t>Техническое обследование существующего автодорожного моста через реку Ушайка в районе пер. Б. Хмельницкого в г. Томске</t>
  </si>
  <si>
    <t>Разработка эскизного проекта</t>
  </si>
  <si>
    <t>Строительство тротуаров по ул. Балтийская - ул. Осенняя, ул. Заречная 1-я-5-я</t>
  </si>
  <si>
    <t>Дорога открыта для движения.</t>
  </si>
  <si>
    <t>на вводные мероприятия (комплекс кадастровых работ по уточнению границ двух земельных участков)</t>
  </si>
  <si>
    <t>Строительство ул. Травяная, ул. Тенистая, ул. Приветливая (п. Степановка)</t>
  </si>
  <si>
    <t>Строительство транспортной развязки Транспортного кольца на пл. Южной</t>
  </si>
  <si>
    <t>На проведение государственной экспертизы преоктной документации</t>
  </si>
  <si>
    <t>Строительство дорог на территории, предназначенной для индивидуального жилищного строительства в районе Кузовлевского тракта. I очередь освоения</t>
  </si>
  <si>
    <t>Разработка проектной и изыскательской документации</t>
  </si>
  <si>
    <t>Потребность на корректировку ПИР</t>
  </si>
  <si>
    <t>Строительство левобережной объездной автодороги г.Томска в Томской области (1 этап)</t>
  </si>
  <si>
    <t>Капитальный ремонт объектов улично-дорожной сети в пос. 2-ой ЛПК</t>
  </si>
  <si>
    <t>Капитальный ремонт пер. Нечевский</t>
  </si>
  <si>
    <t>1.1.8</t>
  </si>
  <si>
    <t>1.1.9</t>
  </si>
  <si>
    <t>1.1.13</t>
  </si>
  <si>
    <t>1.1.19</t>
  </si>
  <si>
    <t>1.1.20</t>
  </si>
  <si>
    <t>Капитальный ремонт тротуара на участке ул. Энтузиастов от ул. В. Болдырева до бассейна "Звездный"</t>
  </si>
  <si>
    <t>Капитальный ремонт тротуаров по пер. Урожайному от ул. Б. Подгорная до дома № 27Б в г. Томске</t>
  </si>
  <si>
    <t>Капитальный ремонт моста-трубы на р. Ушайка по пр. Ленина у магазина "1000 мелочей" в г. Томске</t>
  </si>
  <si>
    <t>Капитальный ремонт моста-трубы на р. Ушайка в районе БКЗ в г. Томске</t>
  </si>
  <si>
    <t>Капитальный ремонт моста-трубы на р. Ушайка по пр. Комсомольскому в г. Томске</t>
  </si>
  <si>
    <t>Капитальный ремонт моста-трубы в псо. Свечном по ул. Смирнова в г. Томске</t>
  </si>
  <si>
    <t>Реконструкция моста длиной 35.1 м через р. Ушайка в п. Заварзино по ул. Мостовая в г. Томске со строительством подходов к мосту, устройством освещения</t>
  </si>
  <si>
    <t>Капитальный ремонт моста через р. Ушайку по ул. Мостовой в пос. Заварзино в г. Томске</t>
  </si>
  <si>
    <t>Строительство нового моста через р. Ушайка в 
п. Заварзино по ул. Облепиховая в г. Томске со строительством подходов к мосту, устройством освещения</t>
  </si>
  <si>
    <t>Капитальный ремонт моста через р. Басандайка в п. Аникино</t>
  </si>
  <si>
    <t>Строительство нового моста через р. Басандайка на автомобильной дороге Томск - Коларово в 
г. Томске с реконструкцией подходов к мосту, переустройством инженерных коммуникаций, устройством освещения</t>
  </si>
  <si>
    <t>Строительство улиц в пос. Родионово, 
мкр. Каменка</t>
  </si>
  <si>
    <t>Строительство автомобильной дороги по 
пер. Еловый в с. Дзержинское</t>
  </si>
  <si>
    <t>1.1.10</t>
  </si>
  <si>
    <t>Строительство улиц в ж/д Копылово</t>
  </si>
  <si>
    <t>Капитальный ремонт ул. Гагарина в д. Лоскутово</t>
  </si>
  <si>
    <t>1.1.25</t>
  </si>
  <si>
    <t>1.1.26</t>
  </si>
  <si>
    <t>1.1.27</t>
  </si>
  <si>
    <t>1.1.28</t>
  </si>
  <si>
    <t>1.1.29</t>
  </si>
  <si>
    <t>1.1.30</t>
  </si>
  <si>
    <t>Крепление левобережной части подхода к Камееному мосту на реке Ушайка по пер. Пионерский в г. Томске</t>
  </si>
  <si>
    <t>Реконструкция ул. Кольцевой в г. Томске - главного въезда на южную площадку особой экономической зоны технико-внедренческого типа</t>
  </si>
  <si>
    <t>в целях ввода в эксплуатацию объекта</t>
  </si>
  <si>
    <t>техническая инвентаризация в целях ввода в эксплуатацию объекта</t>
  </si>
  <si>
    <t>Строительсвто автомобильной дороги по 
ул. Бутакова от ул. Добровидова до 
ул. Большакова в г. Томске</t>
  </si>
  <si>
    <t>Строительство транспортной развязки в двух уровнях на пересечении пр. Комсомольского с 
ул. Пушкина в г. Томске - 2 этап.</t>
  </si>
  <si>
    <t>Тех. присоединение</t>
  </si>
  <si>
    <t>Изготовление актов обследования</t>
  </si>
  <si>
    <t>Строительство ул. Сибирской от ул. Л. Толстого до ж.д. переезда, в том числе строительство транспортной развязки и моста через р. Ушайку</t>
  </si>
  <si>
    <t>1.1.31</t>
  </si>
  <si>
    <t>1.1.32</t>
  </si>
  <si>
    <t>1.1.33</t>
  </si>
  <si>
    <t>В целях проведения комплекса топографо-геодезических работ, землеустроительных работ, кадастровых работ</t>
  </si>
  <si>
    <t>Реконструкция автодорожного мсота через 
р. Ушайку в пос. Восточный</t>
  </si>
  <si>
    <t>в целях выполнения топосъемки, технической инвентаризации, изготовления технических паспортов</t>
  </si>
  <si>
    <t>Строительство автодорожного моста через 
р. Ушайку по ул. Короленко в пос. Степановка</t>
  </si>
  <si>
    <t>Капитальный ремонт моста через р. Ушайку и путепровод через ж.д. пути на ул. Балтийской</t>
  </si>
  <si>
    <t>ПИР, тех. инвентаризация</t>
  </si>
  <si>
    <t>Строительство надземных пешеходных переходов по пр. Фрунзе и по ул. Елизаровых г. Томска</t>
  </si>
  <si>
    <t>1.1.34</t>
  </si>
  <si>
    <t>Строительство объектов улично-дорожной сети в 
д. Киргизка</t>
  </si>
  <si>
    <t>Оценка пожарных рисков</t>
  </si>
  <si>
    <t>2.1.2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</si>
  <si>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</t>
  </si>
  <si>
    <t>Код бюджетной классификации
(КЦСР, КВР)</t>
  </si>
  <si>
    <t>10 1 01 4П960 414
10 1 01 40010 414</t>
  </si>
  <si>
    <t>10 1 01 40010 414</t>
  </si>
  <si>
    <t>10 1 01 60099 243</t>
  </si>
  <si>
    <t>10 1 01 20420 243</t>
  </si>
  <si>
    <t>Основное мероприятие: Повышение доступности и безопасности улично-дорожной сети</t>
  </si>
  <si>
    <t>10 1 01 40010 414
10 1 01 4П960 414
10 1 01 60099 243
10 1 01 20420 243</t>
  </si>
  <si>
    <t xml:space="preserve">Капитальный ремонт металлических пешеходных ограждений, расположенных на разделительной полосе пр. Комсомольского в 80 метрах от здания 
№ 44 по пер. Мариинскому
</t>
  </si>
  <si>
    <t>2.1.</t>
  </si>
  <si>
    <t>2.1.1.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</si>
  <si>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</si>
  <si>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</si>
  <si>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</si>
  <si>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</si>
  <si>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</si>
  <si>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</si>
  <si>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</si>
  <si>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</si>
  <si>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</si>
  <si>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</si>
  <si>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</si>
  <si>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</si>
  <si>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</si>
  <si>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2.2.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</si>
  <si>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</si>
  <si>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</si>
  <si>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</si>
  <si>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</si>
  <si>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</si>
  <si>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</si>
  <si>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</si>
  <si>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</si>
  <si>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</si>
  <si>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2.2.12</t>
  </si>
  <si>
    <t>2.2.11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</si>
  <si>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</si>
  <si>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</si>
  <si>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</si>
  <si>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</si>
  <si>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</si>
  <si>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</si>
  <si>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</si>
  <si>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</si>
  <si>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</si>
  <si>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</si>
  <si>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</si>
  <si>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</si>
  <si>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</si>
  <si>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</si>
  <si>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</si>
  <si>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</si>
  <si>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</si>
  <si>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</si>
  <si>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</si>
  <si>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</si>
  <si>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</si>
  <si>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</si>
  <si>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</si>
  <si>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</si>
  <si>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</si>
  <si>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</si>
  <si>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</si>
  <si>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</si>
  <si>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</si>
  <si>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</si>
  <si>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</si>
  <si>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</si>
  <si>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</si>
  <si>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</si>
  <si>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2.2.47</t>
  </si>
  <si>
    <t>2.2.48</t>
  </si>
  <si>
    <t>2.2.49</t>
  </si>
  <si>
    <t>2.2.50</t>
  </si>
  <si>
    <t>2.2.51</t>
  </si>
  <si>
    <t>2.2.52</t>
  </si>
  <si>
    <t>2.2.53</t>
  </si>
  <si>
    <t>2.2.54</t>
  </si>
  <si>
    <t>2.2.55</t>
  </si>
  <si>
    <t>2.2.56</t>
  </si>
  <si>
    <t>2.2.57</t>
  </si>
  <si>
    <t>2.2.58</t>
  </si>
  <si>
    <t>2.2.59</t>
  </si>
  <si>
    <t>2.2.60</t>
  </si>
  <si>
    <t>2.2.61</t>
  </si>
  <si>
    <t>2.2.62</t>
  </si>
  <si>
    <t>2.2.63</t>
  </si>
  <si>
    <t>2.2.64</t>
  </si>
  <si>
    <t>2.2.65</t>
  </si>
  <si>
    <t>2.2.66</t>
  </si>
  <si>
    <t>2.2.67</t>
  </si>
  <si>
    <t>2.2.68</t>
  </si>
  <si>
    <t>2.2.69</t>
  </si>
  <si>
    <t>2.2.70</t>
  </si>
  <si>
    <t>2.2.71</t>
  </si>
  <si>
    <t>2.2.72</t>
  </si>
  <si>
    <t>2.2.73</t>
  </si>
  <si>
    <t>2.2.74</t>
  </si>
  <si>
    <t>2.2.75</t>
  </si>
  <si>
    <t>2.2.76</t>
  </si>
  <si>
    <t>2.2.77</t>
  </si>
  <si>
    <t>2.2.78</t>
  </si>
  <si>
    <t>2.2.79</t>
  </si>
  <si>
    <t>2.2.80</t>
  </si>
  <si>
    <t>2.2.81</t>
  </si>
  <si>
    <t>2.2.82</t>
  </si>
  <si>
    <t>2.2.83</t>
  </si>
  <si>
    <t>2.2.84</t>
  </si>
  <si>
    <t>2.2.85</t>
  </si>
  <si>
    <t>2.2.86</t>
  </si>
  <si>
    <t>2.2.87</t>
  </si>
  <si>
    <t>2.2.88</t>
  </si>
  <si>
    <t>2.2.89</t>
  </si>
  <si>
    <t>2.2.90</t>
  </si>
  <si>
    <t>2.2.91</t>
  </si>
  <si>
    <t>2.2.92</t>
  </si>
  <si>
    <t>2.2.93</t>
  </si>
  <si>
    <t>2.2.94</t>
  </si>
  <si>
    <t>2.2.95</t>
  </si>
  <si>
    <t>2.2.96</t>
  </si>
  <si>
    <t>2.2.97</t>
  </si>
  <si>
    <t>2.2.98</t>
  </si>
  <si>
    <t>2.2.99</t>
  </si>
  <si>
    <t>2.2.100</t>
  </si>
  <si>
    <t>2.2.101</t>
  </si>
  <si>
    <t>2.2.102</t>
  </si>
  <si>
    <t>2.2.103</t>
  </si>
  <si>
    <t>2.2.104</t>
  </si>
  <si>
    <t>2.3</t>
  </si>
  <si>
    <t>2.3.1</t>
  </si>
  <si>
    <t>Консервация объектов</t>
  </si>
  <si>
    <t>1.2</t>
  </si>
  <si>
    <t>1.2.1</t>
  </si>
  <si>
    <t>Консервация объекта</t>
  </si>
  <si>
    <t>Консервация объекта "Строительство левобережной объездной автодороги г. Томска в Томской области (вторая очередь строительства)"</t>
  </si>
  <si>
    <t>10 1 01 99990 244</t>
  </si>
  <si>
    <t>Консервация</t>
  </si>
  <si>
    <t>Капитальный ремонт ул. Эуштинской на участке от пер. Буяновского до стадиона ТГУ</t>
  </si>
  <si>
    <t>2018 (10 шт)</t>
  </si>
  <si>
    <t>Положительное заключение о достоверности определения сметной стоимости от 10.07.2015 
№ 6-2-1-0340-15</t>
  </si>
  <si>
    <t>Положительное заключение о достоверности определения сметной стоимости от 27.09.2012 
№ 6-2-1-0950-12</t>
  </si>
  <si>
    <t xml:space="preserve">Положительное заключение о достоверности определения сметной стоимости от 02.10.2012 
№ 6-2-1-0983-12. </t>
  </si>
  <si>
    <t xml:space="preserve">Положительное заключение о достоверности определения сметной стоимости от 12.09.2012 
№ 6-2-1-0838-12. </t>
  </si>
  <si>
    <t>Положительное заключение о достоверности определения сметной стоимости от 12.09.2012 
№ 6-2-1-0839-12.</t>
  </si>
  <si>
    <t>Положительное заключение о достоверности определения сметной стоимости от 26.12.2014 
№ 6-2-1-0872-14</t>
  </si>
  <si>
    <t>Положительное заключение о достоверности определения сметной стоимости от 25.06.2013 
№ 70-1-5-0114-13</t>
  </si>
  <si>
    <t xml:space="preserve">Положительное заключение государственной экспертизы № 70-1-5-0236-14 от 24.10.2014 г. </t>
  </si>
  <si>
    <t>Пположительное заключение о проверке достоверности определения сметной стоимости № 70-1-6-0101-14 от 10.11.2014 г.</t>
  </si>
  <si>
    <t>Строительство ул. Пастера в г. Томске</t>
  </si>
  <si>
    <t>1.1.35</t>
  </si>
  <si>
    <t>10 1 01 SП960 414
10 1 01 40010 414</t>
  </si>
  <si>
    <t>Реконструкция ул. Континентальной в г. Томске (ПСД)</t>
  </si>
  <si>
    <t>Ответственный исполнитель, соисполнители</t>
  </si>
  <si>
    <t>Департамент капитального строительства администрации Города Томска</t>
  </si>
  <si>
    <t>1.1.36</t>
  </si>
  <si>
    <t>Строительство объекта "Улицы № 1 и № 2 в микрорайоне № 13 жилого района "Восточный" в 
г. Томске"</t>
  </si>
  <si>
    <t>1, 27533</t>
  </si>
  <si>
    <t>10 1 01 40010 414
10 1 01 SИ995 414</t>
  </si>
  <si>
    <t>Строительство объекта начато в 2015 году и завершено в 2016 году. Сметная стоимость объекта в ценах 2015 года составляет 281 399,5 тыс. руб. В 2015 году выполнены и оплачены работы на сумму 10 100,00 тыс. руб., финансирование работ осуществлялось в рамках муниципальной программы «Энергосбережение и повышение энергетической эффективности на 2015-2020 годы». В 2016 году стоимость выполненных и оплаченных работ составила 147 998,9 тыс. руб., финансирование работ осуществлялось вне рамок муниципальных программ. Общий объем финансирования по состоянию на 01.01.2017 г. составил 158 098,9 тыс. руб. В бюджете муниципального образования «Город Томск» в 2017 году на реализацию указанного объекта предусмотрены бюджетные ассигнования в сумме 42 330,1 тыс. руб., в том числе за счет средств областного бюджета – 30 000,0 тыс. руб., за счет средств местного бюджета – 12 330,1 тыс. руб. Таким образом, с учетом предусмотренного финансирования остаток потребности в средствах составляет 80 970,5 тыс. руб. (281 399,5 – 10 100,0 – 147 998,9 – 42 330,1).</t>
  </si>
  <si>
    <t>10 1 01 20420 243
10 1 01 40010 414
10 1 01 99990 244
10 1 01 SП960 414
10 1 01 SИ995 414
10 1 01 53901 414</t>
  </si>
  <si>
    <t>10 1 01 53901 414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</si>
</sst>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_ ;\-#,##0.00\ "/>
    <numFmt numFmtId="175" formatCode="#,##0.0_ ;\-#,##0.0\ "/>
    <numFmt numFmtId="176" formatCode="_-* #,##0.0_р_._-;\-* #,##0.0_р_._-;_-* &quot;-&quot;??_р_._-;_-@_-"/>
    <numFmt numFmtId="177" formatCode="0.0"/>
    <numFmt numFmtId="178" formatCode="[$-FC19]d\ mmmm\ yyyy\ &quot;г.&quot;"/>
    <numFmt numFmtId="179" formatCode="#,##0_ ;\-#,##0\ "/>
    <numFmt numFmtId="180" formatCode="0.000"/>
    <numFmt numFmtId="181" formatCode="#.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00"/>
    <numFmt numFmtId="189" formatCode="0.0000000"/>
    <numFmt numFmtId="190" formatCode="#,##0.00000"/>
    <numFmt numFmtId="191" formatCode="#,##0.0000"/>
  </numFmts>
  <fonts count="3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24" borderId="0" xfId="0" applyFont="1" applyFill="1" applyAlignment="1">
      <alignment/>
    </xf>
    <xf numFmtId="190" fontId="22" fillId="24" borderId="0" xfId="0" applyNumberFormat="1" applyFont="1" applyFill="1" applyAlignment="1">
      <alignment/>
    </xf>
    <xf numFmtId="175" fontId="22" fillId="24" borderId="0" xfId="0" applyNumberFormat="1" applyFont="1" applyFill="1" applyAlignment="1">
      <alignment/>
    </xf>
    <xf numFmtId="0" fontId="22" fillId="24" borderId="0" xfId="0" applyFont="1" applyFill="1" applyAlignment="1">
      <alignment horizontal="centerContinuous"/>
    </xf>
    <xf numFmtId="1" fontId="23" fillId="24" borderId="10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/>
    </xf>
    <xf numFmtId="0" fontId="22" fillId="24" borderId="0" xfId="0" applyFont="1" applyFill="1" applyBorder="1" applyAlignment="1">
      <alignment/>
    </xf>
    <xf numFmtId="1" fontId="26" fillId="24" borderId="0" xfId="0" applyNumberFormat="1" applyFont="1" applyFill="1" applyBorder="1" applyAlignment="1">
      <alignment horizontal="center" vertical="center" wrapText="1"/>
    </xf>
    <xf numFmtId="174" fontId="26" fillId="24" borderId="0" xfId="61" applyNumberFormat="1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1" fontId="23" fillId="24" borderId="0" xfId="0" applyNumberFormat="1" applyFont="1" applyFill="1" applyBorder="1" applyAlignment="1">
      <alignment horizontal="center" vertical="center" wrapText="1"/>
    </xf>
    <xf numFmtId="174" fontId="23" fillId="24" borderId="0" xfId="61" applyNumberFormat="1" applyFont="1" applyFill="1" applyBorder="1" applyAlignment="1">
      <alignment horizontal="center" vertical="center" wrapText="1"/>
    </xf>
    <xf numFmtId="175" fontId="23" fillId="24" borderId="0" xfId="61" applyNumberFormat="1" applyFont="1" applyFill="1" applyBorder="1" applyAlignment="1">
      <alignment horizontal="center" vertical="center" wrapText="1"/>
    </xf>
    <xf numFmtId="175" fontId="26" fillId="24" borderId="0" xfId="61" applyNumberFormat="1" applyFont="1" applyFill="1" applyBorder="1" applyAlignment="1">
      <alignment horizontal="center" vertical="center" wrapText="1"/>
    </xf>
    <xf numFmtId="177" fontId="23" fillId="24" borderId="0" xfId="0" applyNumberFormat="1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/>
    </xf>
    <xf numFmtId="0" fontId="22" fillId="24" borderId="0" xfId="0" applyFont="1" applyFill="1" applyAlignment="1">
      <alignment horizontal="center" vertical="center" wrapText="1"/>
    </xf>
    <xf numFmtId="172" fontId="22" fillId="24" borderId="0" xfId="0" applyNumberFormat="1" applyFont="1" applyFill="1" applyAlignment="1">
      <alignment/>
    </xf>
    <xf numFmtId="2" fontId="22" fillId="24" borderId="0" xfId="0" applyNumberFormat="1" applyFont="1" applyFill="1" applyAlignment="1">
      <alignment/>
    </xf>
    <xf numFmtId="0" fontId="22" fillId="24" borderId="0" xfId="0" applyFont="1" applyFill="1" applyAlignment="1">
      <alignment horizontal="centerContinuous" wrapText="1"/>
    </xf>
    <xf numFmtId="49" fontId="22" fillId="24" borderId="0" xfId="0" applyNumberFormat="1" applyFont="1" applyFill="1" applyAlignment="1">
      <alignment horizontal="center" vertical="center" wrapText="1"/>
    </xf>
    <xf numFmtId="49" fontId="22" fillId="24" borderId="0" xfId="0" applyNumberFormat="1" applyFont="1" applyFill="1" applyAlignment="1">
      <alignment/>
    </xf>
    <xf numFmtId="4" fontId="22" fillId="24" borderId="0" xfId="0" applyNumberFormat="1" applyFont="1" applyFill="1" applyAlignment="1">
      <alignment/>
    </xf>
    <xf numFmtId="4" fontId="23" fillId="24" borderId="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" fontId="23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right" wrapText="1"/>
    </xf>
    <xf numFmtId="1" fontId="24" fillId="24" borderId="0" xfId="0" applyNumberFormat="1" applyFont="1" applyFill="1" applyBorder="1" applyAlignment="1">
      <alignment horizontal="center" vertical="center" wrapText="1"/>
    </xf>
    <xf numFmtId="4" fontId="23" fillId="24" borderId="11" xfId="0" applyNumberFormat="1" applyFont="1" applyFill="1" applyBorder="1" applyAlignment="1">
      <alignment horizontal="center" vertical="center" wrapText="1"/>
    </xf>
    <xf numFmtId="4" fontId="23" fillId="24" borderId="12" xfId="0" applyNumberFormat="1" applyFont="1" applyFill="1" applyBorder="1" applyAlignment="1">
      <alignment horizontal="center" vertical="center" wrapText="1"/>
    </xf>
    <xf numFmtId="4" fontId="23" fillId="24" borderId="13" xfId="0" applyNumberFormat="1" applyFont="1" applyFill="1" applyBorder="1" applyAlignment="1">
      <alignment horizontal="center" vertical="center" wrapText="1"/>
    </xf>
    <xf numFmtId="4" fontId="23" fillId="24" borderId="10" xfId="0" applyNumberFormat="1" applyFont="1" applyFill="1" applyBorder="1" applyAlignment="1">
      <alignment horizontal="center" vertical="center" wrapText="1"/>
    </xf>
    <xf numFmtId="175" fontId="27" fillId="0" borderId="10" xfId="61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175" fontId="28" fillId="0" borderId="10" xfId="61" applyNumberFormat="1" applyFont="1" applyFill="1" applyBorder="1" applyAlignment="1">
      <alignment horizontal="center" vertical="center" wrapText="1"/>
    </xf>
    <xf numFmtId="177" fontId="27" fillId="0" borderId="10" xfId="0" applyNumberFormat="1" applyFont="1" applyFill="1" applyBorder="1" applyAlignment="1">
      <alignment horizontal="center" vertical="center" wrapText="1"/>
    </xf>
    <xf numFmtId="174" fontId="27" fillId="0" borderId="10" xfId="61" applyNumberFormat="1" applyFont="1" applyFill="1" applyBorder="1" applyAlignment="1">
      <alignment horizontal="center" vertical="center" wrapText="1"/>
    </xf>
    <xf numFmtId="174" fontId="29" fillId="0" borderId="10" xfId="61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175" fontId="27" fillId="0" borderId="10" xfId="0" applyNumberFormat="1" applyFont="1" applyFill="1" applyBorder="1" applyAlignment="1">
      <alignment horizontal="center" vertical="center" wrapText="1"/>
    </xf>
    <xf numFmtId="173" fontId="27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73" fontId="27" fillId="0" borderId="10" xfId="61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72" fontId="31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/>
    </xf>
    <xf numFmtId="172" fontId="31" fillId="0" borderId="0" xfId="0" applyNumberFormat="1" applyFont="1" applyFill="1" applyAlignment="1">
      <alignment/>
    </xf>
    <xf numFmtId="1" fontId="29" fillId="0" borderId="10" xfId="0" applyNumberFormat="1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center" wrapText="1"/>
    </xf>
    <xf numFmtId="1" fontId="29" fillId="0" borderId="14" xfId="0" applyNumberFormat="1" applyFont="1" applyFill="1" applyBorder="1" applyAlignment="1">
      <alignment horizontal="center" vertical="center" wrapText="1"/>
    </xf>
    <xf numFmtId="1" fontId="29" fillId="0" borderId="15" xfId="0" applyNumberFormat="1" applyFont="1" applyFill="1" applyBorder="1" applyAlignment="1">
      <alignment horizontal="center" vertical="center" wrapText="1"/>
    </xf>
    <xf numFmtId="1" fontId="29" fillId="0" borderId="16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top" wrapText="1"/>
    </xf>
    <xf numFmtId="1" fontId="29" fillId="0" borderId="17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1" fontId="29" fillId="0" borderId="18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1" fontId="29" fillId="0" borderId="12" xfId="0" applyNumberFormat="1" applyFont="1" applyFill="1" applyBorder="1" applyAlignment="1">
      <alignment horizontal="center" vertical="center" wrapText="1"/>
    </xf>
    <xf numFmtId="174" fontId="28" fillId="0" borderId="10" xfId="61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172" fontId="27" fillId="0" borderId="10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" fontId="29" fillId="0" borderId="14" xfId="0" applyNumberFormat="1" applyFont="1" applyFill="1" applyBorder="1" applyAlignment="1">
      <alignment horizontal="left" vertical="center" wrapText="1"/>
    </xf>
    <xf numFmtId="1" fontId="29" fillId="0" borderId="15" xfId="0" applyNumberFormat="1" applyFont="1" applyFill="1" applyBorder="1" applyAlignment="1">
      <alignment horizontal="left" vertical="center" wrapText="1"/>
    </xf>
    <xf numFmtId="1" fontId="29" fillId="0" borderId="16" xfId="0" applyNumberFormat="1" applyFont="1" applyFill="1" applyBorder="1" applyAlignment="1">
      <alignment horizontal="left" vertical="center" wrapText="1"/>
    </xf>
    <xf numFmtId="1" fontId="29" fillId="0" borderId="16" xfId="0" applyNumberFormat="1" applyFont="1" applyFill="1" applyBorder="1" applyAlignment="1">
      <alignment horizontal="left" vertical="center" wrapText="1"/>
    </xf>
    <xf numFmtId="1" fontId="29" fillId="0" borderId="17" xfId="0" applyNumberFormat="1" applyFont="1" applyFill="1" applyBorder="1" applyAlignment="1">
      <alignment horizontal="left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1" fontId="29" fillId="0" borderId="18" xfId="0" applyNumberFormat="1" applyFont="1" applyFill="1" applyBorder="1" applyAlignment="1">
      <alignment horizontal="left" vertical="center" wrapText="1"/>
    </xf>
    <xf numFmtId="1" fontId="29" fillId="0" borderId="18" xfId="0" applyNumberFormat="1" applyFont="1" applyFill="1" applyBorder="1" applyAlignment="1">
      <alignment horizontal="left" vertical="center" wrapText="1"/>
    </xf>
    <xf numFmtId="1" fontId="29" fillId="0" borderId="19" xfId="0" applyNumberFormat="1" applyFont="1" applyFill="1" applyBorder="1" applyAlignment="1">
      <alignment horizontal="left" vertical="center" wrapText="1"/>
    </xf>
    <xf numFmtId="1" fontId="29" fillId="0" borderId="20" xfId="0" applyNumberFormat="1" applyFont="1" applyFill="1" applyBorder="1" applyAlignment="1">
      <alignment horizontal="left" vertical="center" wrapText="1"/>
    </xf>
    <xf numFmtId="1" fontId="29" fillId="0" borderId="21" xfId="0" applyNumberFormat="1" applyFont="1" applyFill="1" applyBorder="1" applyAlignment="1">
      <alignment horizontal="left" vertical="center" wrapText="1"/>
    </xf>
    <xf numFmtId="1" fontId="29" fillId="0" borderId="21" xfId="0" applyNumberFormat="1" applyFont="1" applyFill="1" applyBorder="1" applyAlignment="1">
      <alignment horizontal="left" vertical="center" wrapText="1"/>
    </xf>
    <xf numFmtId="1" fontId="29" fillId="0" borderId="13" xfId="0" applyNumberFormat="1" applyFont="1" applyFill="1" applyBorder="1" applyAlignment="1">
      <alignment horizontal="center" vertical="center" wrapText="1"/>
    </xf>
    <xf numFmtId="172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60"/>
  <sheetViews>
    <sheetView tabSelected="1" zoomScale="70" zoomScaleNormal="70" zoomScalePageLayoutView="0" workbookViewId="0" topLeftCell="A1">
      <pane xSplit="2" ySplit="15" topLeftCell="W127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60" sqref="A17:R373"/>
    </sheetView>
  </sheetViews>
  <sheetFormatPr defaultColWidth="9.00390625" defaultRowHeight="12.75"/>
  <cols>
    <col min="1" max="1" width="12.625" style="1" bestFit="1" customWidth="1"/>
    <col min="2" max="2" width="54.375" style="1" customWidth="1"/>
    <col min="3" max="3" width="11.00390625" style="1" customWidth="1"/>
    <col min="4" max="4" width="14.125" style="1" bestFit="1" customWidth="1"/>
    <col min="5" max="5" width="23.125" style="1" customWidth="1"/>
    <col min="6" max="6" width="13.625" style="1" customWidth="1"/>
    <col min="7" max="7" width="16.375" style="1" customWidth="1"/>
    <col min="8" max="8" width="15.125" style="1" customWidth="1"/>
    <col min="9" max="10" width="23.125" style="1" customWidth="1"/>
    <col min="11" max="11" width="21.875" style="1" customWidth="1"/>
    <col min="12" max="12" width="21.25390625" style="1" customWidth="1"/>
    <col min="13" max="13" width="21.875" style="1" customWidth="1"/>
    <col min="14" max="14" width="21.25390625" style="1" customWidth="1"/>
    <col min="15" max="15" width="21.875" style="1" customWidth="1"/>
    <col min="16" max="16" width="21.25390625" style="1" customWidth="1"/>
    <col min="17" max="17" width="47.75390625" style="1" customWidth="1"/>
    <col min="18" max="18" width="19.00390625" style="1" customWidth="1"/>
    <col min="19" max="16384" width="9.125" style="1" customWidth="1"/>
  </cols>
  <sheetData>
    <row r="2" spans="4:18" ht="50.25" customHeight="1">
      <c r="D2" s="24"/>
      <c r="E2" s="24"/>
      <c r="F2" s="2"/>
      <c r="G2" s="3"/>
      <c r="I2" s="18"/>
      <c r="M2" s="3"/>
      <c r="N2" s="3"/>
      <c r="P2" s="32" t="s">
        <v>155</v>
      </c>
      <c r="Q2" s="32"/>
      <c r="R2" s="32"/>
    </row>
    <row r="3" spans="4:6" ht="15">
      <c r="D3" s="18"/>
      <c r="E3" s="18"/>
      <c r="F3" s="23"/>
    </row>
    <row r="4" spans="4:5" ht="15">
      <c r="D4" s="23"/>
      <c r="E4" s="23"/>
    </row>
    <row r="7" spans="1:17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30">
      <c r="A8" s="20" t="s">
        <v>154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11" spans="1:18" ht="15.75" customHeight="1">
      <c r="A11" s="37" t="s">
        <v>0</v>
      </c>
      <c r="B11" s="37" t="s">
        <v>130</v>
      </c>
      <c r="C11" s="37" t="s">
        <v>36</v>
      </c>
      <c r="D11" s="37" t="s">
        <v>1</v>
      </c>
      <c r="E11" s="34" t="s">
        <v>245</v>
      </c>
      <c r="F11" s="37" t="s">
        <v>89</v>
      </c>
      <c r="G11" s="37" t="s">
        <v>92</v>
      </c>
      <c r="H11" s="37"/>
      <c r="I11" s="28" t="s">
        <v>129</v>
      </c>
      <c r="J11" s="28"/>
      <c r="K11" s="28"/>
      <c r="L11" s="28"/>
      <c r="M11" s="28"/>
      <c r="N11" s="28"/>
      <c r="O11" s="28"/>
      <c r="P11" s="28"/>
      <c r="Q11" s="29" t="s">
        <v>26</v>
      </c>
      <c r="R11" s="29" t="s">
        <v>396</v>
      </c>
    </row>
    <row r="12" spans="1:18" ht="14.25" customHeight="1">
      <c r="A12" s="37"/>
      <c r="B12" s="37"/>
      <c r="C12" s="37"/>
      <c r="D12" s="37"/>
      <c r="E12" s="35"/>
      <c r="F12" s="37"/>
      <c r="G12" s="37"/>
      <c r="H12" s="37"/>
      <c r="I12" s="28"/>
      <c r="J12" s="28"/>
      <c r="K12" s="28"/>
      <c r="L12" s="28"/>
      <c r="M12" s="28"/>
      <c r="N12" s="28"/>
      <c r="O12" s="28"/>
      <c r="P12" s="28"/>
      <c r="Q12" s="30"/>
      <c r="R12" s="30"/>
    </row>
    <row r="13" spans="1:18" ht="29.25" customHeight="1">
      <c r="A13" s="37"/>
      <c r="B13" s="37"/>
      <c r="C13" s="37"/>
      <c r="D13" s="37"/>
      <c r="E13" s="35"/>
      <c r="F13" s="37"/>
      <c r="G13" s="37"/>
      <c r="H13" s="37"/>
      <c r="I13" s="28" t="s">
        <v>93</v>
      </c>
      <c r="J13" s="28"/>
      <c r="K13" s="28" t="s">
        <v>95</v>
      </c>
      <c r="L13" s="28"/>
      <c r="M13" s="28" t="s">
        <v>94</v>
      </c>
      <c r="N13" s="28"/>
      <c r="O13" s="28" t="s">
        <v>96</v>
      </c>
      <c r="P13" s="28"/>
      <c r="Q13" s="30"/>
      <c r="R13" s="30"/>
    </row>
    <row r="14" spans="1:18" ht="3" customHeight="1">
      <c r="A14" s="37"/>
      <c r="B14" s="37"/>
      <c r="C14" s="37"/>
      <c r="D14" s="37"/>
      <c r="E14" s="35"/>
      <c r="F14" s="37"/>
      <c r="G14" s="37"/>
      <c r="H14" s="37"/>
      <c r="I14" s="28"/>
      <c r="J14" s="28"/>
      <c r="K14" s="28"/>
      <c r="L14" s="28"/>
      <c r="M14" s="28"/>
      <c r="N14" s="28"/>
      <c r="O14" s="28"/>
      <c r="P14" s="28"/>
      <c r="Q14" s="30"/>
      <c r="R14" s="30"/>
    </row>
    <row r="15" spans="1:18" ht="51.75" customHeight="1">
      <c r="A15" s="37"/>
      <c r="B15" s="37"/>
      <c r="C15" s="37"/>
      <c r="D15" s="37"/>
      <c r="E15" s="36"/>
      <c r="F15" s="37"/>
      <c r="G15" s="26" t="s">
        <v>90</v>
      </c>
      <c r="H15" s="26" t="s">
        <v>91</v>
      </c>
      <c r="I15" s="26" t="s">
        <v>90</v>
      </c>
      <c r="J15" s="26" t="s">
        <v>91</v>
      </c>
      <c r="K15" s="26" t="s">
        <v>90</v>
      </c>
      <c r="L15" s="26" t="s">
        <v>91</v>
      </c>
      <c r="M15" s="26" t="s">
        <v>90</v>
      </c>
      <c r="N15" s="26" t="s">
        <v>91</v>
      </c>
      <c r="O15" s="26" t="s">
        <v>90</v>
      </c>
      <c r="P15" s="26" t="s">
        <v>91</v>
      </c>
      <c r="Q15" s="31"/>
      <c r="R15" s="31"/>
    </row>
    <row r="16" spans="1:18" ht="15.75" customHeight="1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25">
        <v>17</v>
      </c>
      <c r="R16" s="27">
        <v>18</v>
      </c>
    </row>
    <row r="17" spans="1:18" s="6" customFormat="1" ht="72" customHeight="1">
      <c r="A17" s="61" t="s">
        <v>137</v>
      </c>
      <c r="B17" s="61"/>
      <c r="C17" s="61"/>
      <c r="D17" s="61"/>
      <c r="E17" s="61"/>
      <c r="F17" s="61"/>
      <c r="G17" s="43"/>
      <c r="H17" s="43"/>
      <c r="I17" s="44"/>
      <c r="J17" s="44"/>
      <c r="K17" s="44"/>
      <c r="L17" s="44"/>
      <c r="M17" s="44"/>
      <c r="N17" s="44"/>
      <c r="O17" s="44"/>
      <c r="P17" s="44"/>
      <c r="Q17" s="45"/>
      <c r="R17" s="62" t="s">
        <v>397</v>
      </c>
    </row>
    <row r="18" spans="1:18" ht="19.5" customHeight="1">
      <c r="A18" s="63"/>
      <c r="B18" s="64" t="s">
        <v>250</v>
      </c>
      <c r="C18" s="65"/>
      <c r="D18" s="66"/>
      <c r="E18" s="44"/>
      <c r="F18" s="67" t="s">
        <v>98</v>
      </c>
      <c r="G18" s="40">
        <f>I18+K18+M18+O18</f>
        <v>6000049</v>
      </c>
      <c r="H18" s="40">
        <f aca="true" t="shared" si="0" ref="G18:H24">J18+L18+N18+P18</f>
        <v>549882.3</v>
      </c>
      <c r="I18" s="40">
        <f>I19+I20+I21+I22+I23+I24</f>
        <v>1979075.5</v>
      </c>
      <c r="J18" s="40">
        <f aca="true" t="shared" si="1" ref="J18:P18">J19+J20+J21+J22+J23+J24</f>
        <v>400604.4</v>
      </c>
      <c r="K18" s="40">
        <f t="shared" si="1"/>
        <v>1896553.5</v>
      </c>
      <c r="L18" s="40">
        <f t="shared" si="1"/>
        <v>100000</v>
      </c>
      <c r="M18" s="40">
        <f t="shared" si="1"/>
        <v>2124420</v>
      </c>
      <c r="N18" s="40">
        <f t="shared" si="1"/>
        <v>49277.9</v>
      </c>
      <c r="O18" s="40">
        <f t="shared" si="1"/>
        <v>0</v>
      </c>
      <c r="P18" s="40">
        <f t="shared" si="1"/>
        <v>0</v>
      </c>
      <c r="Q18" s="39"/>
      <c r="R18" s="68"/>
    </row>
    <row r="19" spans="1:18" ht="22.5" customHeight="1">
      <c r="A19" s="63"/>
      <c r="B19" s="69"/>
      <c r="C19" s="70"/>
      <c r="D19" s="71"/>
      <c r="E19" s="44"/>
      <c r="F19" s="72">
        <v>2015</v>
      </c>
      <c r="G19" s="38">
        <f t="shared" si="0"/>
        <v>123108.90000000002</v>
      </c>
      <c r="H19" s="38">
        <f t="shared" si="0"/>
        <v>123108.90000000002</v>
      </c>
      <c r="I19" s="38">
        <f aca="true" t="shared" si="2" ref="I19:I24">I347</f>
        <v>116641.80000000002</v>
      </c>
      <c r="J19" s="38">
        <f aca="true" t="shared" si="3" ref="J19:P19">J347</f>
        <v>116641.80000000002</v>
      </c>
      <c r="K19" s="38">
        <f t="shared" si="3"/>
        <v>0</v>
      </c>
      <c r="L19" s="38">
        <f t="shared" si="3"/>
        <v>0</v>
      </c>
      <c r="M19" s="38">
        <f t="shared" si="3"/>
        <v>6467.1</v>
      </c>
      <c r="N19" s="38">
        <f t="shared" si="3"/>
        <v>6467.1</v>
      </c>
      <c r="O19" s="38">
        <f t="shared" si="3"/>
        <v>0</v>
      </c>
      <c r="P19" s="38">
        <f t="shared" si="3"/>
        <v>0</v>
      </c>
      <c r="Q19" s="39"/>
      <c r="R19" s="68"/>
    </row>
    <row r="20" spans="1:18" ht="79.5" customHeight="1">
      <c r="A20" s="63"/>
      <c r="B20" s="69"/>
      <c r="C20" s="70"/>
      <c r="D20" s="71"/>
      <c r="E20" s="72" t="s">
        <v>251</v>
      </c>
      <c r="F20" s="72">
        <v>2016</v>
      </c>
      <c r="G20" s="38">
        <f t="shared" si="0"/>
        <v>103625.10000000002</v>
      </c>
      <c r="H20" s="38">
        <f t="shared" si="0"/>
        <v>103625.10000000002</v>
      </c>
      <c r="I20" s="38">
        <f t="shared" si="2"/>
        <v>94153.30000000002</v>
      </c>
      <c r="J20" s="38">
        <f aca="true" t="shared" si="4" ref="J20:P24">J348</f>
        <v>94153.30000000002</v>
      </c>
      <c r="K20" s="38">
        <f t="shared" si="4"/>
        <v>0</v>
      </c>
      <c r="L20" s="38">
        <f t="shared" si="4"/>
        <v>0</v>
      </c>
      <c r="M20" s="38">
        <f t="shared" si="4"/>
        <v>9471.8</v>
      </c>
      <c r="N20" s="38">
        <f t="shared" si="4"/>
        <v>9471.8</v>
      </c>
      <c r="O20" s="38">
        <f t="shared" si="4"/>
        <v>0</v>
      </c>
      <c r="P20" s="38">
        <f t="shared" si="4"/>
        <v>0</v>
      </c>
      <c r="Q20" s="39"/>
      <c r="R20" s="68"/>
    </row>
    <row r="21" spans="1:18" ht="107.25" customHeight="1">
      <c r="A21" s="63"/>
      <c r="B21" s="69"/>
      <c r="C21" s="70"/>
      <c r="D21" s="71"/>
      <c r="E21" s="72" t="s">
        <v>403</v>
      </c>
      <c r="F21" s="72">
        <v>2017</v>
      </c>
      <c r="G21" s="38">
        <f t="shared" si="0"/>
        <v>404118.8</v>
      </c>
      <c r="H21" s="38">
        <f>J21+L21+N21+P21</f>
        <v>323148.3</v>
      </c>
      <c r="I21" s="38">
        <f>I349</f>
        <v>189809.3</v>
      </c>
      <c r="J21" s="38">
        <f>J349</f>
        <v>189809.3</v>
      </c>
      <c r="K21" s="38">
        <f t="shared" si="4"/>
        <v>100000</v>
      </c>
      <c r="L21" s="38">
        <f t="shared" si="4"/>
        <v>100000</v>
      </c>
      <c r="M21" s="38">
        <f t="shared" si="4"/>
        <v>114309.5</v>
      </c>
      <c r="N21" s="38">
        <f t="shared" si="4"/>
        <v>33339</v>
      </c>
      <c r="O21" s="38">
        <f t="shared" si="4"/>
        <v>0</v>
      </c>
      <c r="P21" s="38">
        <f t="shared" si="4"/>
        <v>0</v>
      </c>
      <c r="Q21" s="39"/>
      <c r="R21" s="68"/>
    </row>
    <row r="22" spans="1:18" ht="24" customHeight="1">
      <c r="A22" s="63"/>
      <c r="B22" s="69"/>
      <c r="C22" s="70"/>
      <c r="D22" s="71"/>
      <c r="E22" s="44"/>
      <c r="F22" s="72">
        <v>2018</v>
      </c>
      <c r="G22" s="38">
        <f t="shared" si="0"/>
        <v>3817247.3</v>
      </c>
      <c r="H22" s="38">
        <f t="shared" si="0"/>
        <v>0</v>
      </c>
      <c r="I22" s="38">
        <f t="shared" si="2"/>
        <v>955466.6000000001</v>
      </c>
      <c r="J22" s="38">
        <f t="shared" si="4"/>
        <v>0</v>
      </c>
      <c r="K22" s="38">
        <f t="shared" si="4"/>
        <v>1796553.5</v>
      </c>
      <c r="L22" s="38">
        <f t="shared" si="4"/>
        <v>0</v>
      </c>
      <c r="M22" s="38">
        <f t="shared" si="4"/>
        <v>1065227.2</v>
      </c>
      <c r="N22" s="38">
        <f t="shared" si="4"/>
        <v>0</v>
      </c>
      <c r="O22" s="38">
        <f t="shared" si="4"/>
        <v>0</v>
      </c>
      <c r="P22" s="38">
        <f t="shared" si="4"/>
        <v>0</v>
      </c>
      <c r="Q22" s="39"/>
      <c r="R22" s="68"/>
    </row>
    <row r="23" spans="1:18" ht="18" customHeight="1">
      <c r="A23" s="63"/>
      <c r="B23" s="69"/>
      <c r="C23" s="70"/>
      <c r="D23" s="71"/>
      <c r="E23" s="44"/>
      <c r="F23" s="72">
        <v>2019</v>
      </c>
      <c r="G23" s="38">
        <f t="shared" si="0"/>
        <v>876025</v>
      </c>
      <c r="H23" s="38">
        <f t="shared" si="0"/>
        <v>0</v>
      </c>
      <c r="I23" s="38">
        <f t="shared" si="2"/>
        <v>374052.80000000005</v>
      </c>
      <c r="J23" s="38">
        <f t="shared" si="4"/>
        <v>0</v>
      </c>
      <c r="K23" s="38">
        <f t="shared" si="4"/>
        <v>0</v>
      </c>
      <c r="L23" s="38">
        <f t="shared" si="4"/>
        <v>0</v>
      </c>
      <c r="M23" s="38">
        <f t="shared" si="4"/>
        <v>501972.2</v>
      </c>
      <c r="N23" s="38">
        <f t="shared" si="4"/>
        <v>0</v>
      </c>
      <c r="O23" s="38">
        <f t="shared" si="4"/>
        <v>0</v>
      </c>
      <c r="P23" s="38">
        <f t="shared" si="4"/>
        <v>0</v>
      </c>
      <c r="Q23" s="39"/>
      <c r="R23" s="68"/>
    </row>
    <row r="24" spans="1:18" ht="21.75" customHeight="1">
      <c r="A24" s="63"/>
      <c r="B24" s="69"/>
      <c r="C24" s="70"/>
      <c r="D24" s="71"/>
      <c r="E24" s="44"/>
      <c r="F24" s="72">
        <v>2020</v>
      </c>
      <c r="G24" s="38">
        <f t="shared" si="0"/>
        <v>675923.9</v>
      </c>
      <c r="H24" s="38">
        <f t="shared" si="0"/>
        <v>0</v>
      </c>
      <c r="I24" s="38">
        <f t="shared" si="2"/>
        <v>248951.7</v>
      </c>
      <c r="J24" s="38">
        <f t="shared" si="4"/>
        <v>0</v>
      </c>
      <c r="K24" s="38">
        <f t="shared" si="4"/>
        <v>0</v>
      </c>
      <c r="L24" s="38">
        <f t="shared" si="4"/>
        <v>0</v>
      </c>
      <c r="M24" s="38">
        <f t="shared" si="4"/>
        <v>426972.2</v>
      </c>
      <c r="N24" s="38">
        <f t="shared" si="4"/>
        <v>0</v>
      </c>
      <c r="O24" s="38">
        <f t="shared" si="4"/>
        <v>0</v>
      </c>
      <c r="P24" s="38">
        <f t="shared" si="4"/>
        <v>0</v>
      </c>
      <c r="Q24" s="39"/>
      <c r="R24" s="68"/>
    </row>
    <row r="25" spans="1:18" s="6" customFormat="1" ht="57" customHeight="1">
      <c r="A25" s="61" t="s">
        <v>138</v>
      </c>
      <c r="B25" s="61"/>
      <c r="C25" s="61"/>
      <c r="D25" s="61"/>
      <c r="E25" s="61"/>
      <c r="F25" s="61"/>
      <c r="G25" s="43"/>
      <c r="H25" s="43"/>
      <c r="I25" s="44"/>
      <c r="J25" s="44"/>
      <c r="K25" s="44"/>
      <c r="L25" s="44"/>
      <c r="M25" s="44"/>
      <c r="N25" s="44"/>
      <c r="O25" s="44"/>
      <c r="P25" s="44"/>
      <c r="Q25" s="45"/>
      <c r="R25" s="68"/>
    </row>
    <row r="26" spans="1:18" ht="27.75" customHeight="1">
      <c r="A26" s="73" t="s">
        <v>97</v>
      </c>
      <c r="B26" s="74" t="s">
        <v>99</v>
      </c>
      <c r="C26" s="74"/>
      <c r="D26" s="74"/>
      <c r="E26" s="44"/>
      <c r="F26" s="67" t="s">
        <v>98</v>
      </c>
      <c r="G26" s="40">
        <f>G33+G40</f>
        <v>4026693</v>
      </c>
      <c r="H26" s="40">
        <f>H33+H40</f>
        <v>321851.7</v>
      </c>
      <c r="I26" s="40">
        <f>I33+I40</f>
        <v>640065.9</v>
      </c>
      <c r="J26" s="40">
        <f aca="true" t="shared" si="5" ref="J26:P26">J33+J40</f>
        <v>191851.69999999998</v>
      </c>
      <c r="K26" s="40">
        <f t="shared" si="5"/>
        <v>1896553.5</v>
      </c>
      <c r="L26" s="40">
        <f t="shared" si="5"/>
        <v>100000</v>
      </c>
      <c r="M26" s="40">
        <f t="shared" si="5"/>
        <v>1490073.5999999999</v>
      </c>
      <c r="N26" s="40">
        <f t="shared" si="5"/>
        <v>30000</v>
      </c>
      <c r="O26" s="40">
        <f t="shared" si="5"/>
        <v>0</v>
      </c>
      <c r="P26" s="40">
        <f t="shared" si="5"/>
        <v>0</v>
      </c>
      <c r="Q26" s="39"/>
      <c r="R26" s="68"/>
    </row>
    <row r="27" spans="1:18" ht="24" customHeight="1">
      <c r="A27" s="75"/>
      <c r="B27" s="74"/>
      <c r="C27" s="74"/>
      <c r="D27" s="74"/>
      <c r="E27" s="44"/>
      <c r="F27" s="72">
        <v>2015</v>
      </c>
      <c r="G27" s="38">
        <f aca="true" t="shared" si="6" ref="G27:P27">G34+G41</f>
        <v>59690</v>
      </c>
      <c r="H27" s="38">
        <f t="shared" si="6"/>
        <v>59690</v>
      </c>
      <c r="I27" s="38">
        <f>I34+I41</f>
        <v>59690</v>
      </c>
      <c r="J27" s="38">
        <f t="shared" si="6"/>
        <v>59690</v>
      </c>
      <c r="K27" s="38">
        <f t="shared" si="6"/>
        <v>0</v>
      </c>
      <c r="L27" s="38">
        <f t="shared" si="6"/>
        <v>0</v>
      </c>
      <c r="M27" s="38">
        <f t="shared" si="6"/>
        <v>0</v>
      </c>
      <c r="N27" s="38">
        <f t="shared" si="6"/>
        <v>0</v>
      </c>
      <c r="O27" s="38">
        <f t="shared" si="6"/>
        <v>0</v>
      </c>
      <c r="P27" s="38">
        <f t="shared" si="6"/>
        <v>0</v>
      </c>
      <c r="Q27" s="39"/>
      <c r="R27" s="68"/>
    </row>
    <row r="28" spans="1:18" ht="24" customHeight="1">
      <c r="A28" s="75"/>
      <c r="B28" s="74"/>
      <c r="C28" s="74"/>
      <c r="D28" s="74"/>
      <c r="E28" s="44"/>
      <c r="F28" s="72">
        <v>2016</v>
      </c>
      <c r="G28" s="38">
        <f aca="true" t="shared" si="7" ref="G28:P28">G35+G42</f>
        <v>80360.80000000002</v>
      </c>
      <c r="H28" s="38">
        <f t="shared" si="7"/>
        <v>80360.80000000002</v>
      </c>
      <c r="I28" s="38">
        <f t="shared" si="7"/>
        <v>80360.80000000002</v>
      </c>
      <c r="J28" s="38">
        <f t="shared" si="7"/>
        <v>80360.80000000002</v>
      </c>
      <c r="K28" s="38">
        <f t="shared" si="7"/>
        <v>0</v>
      </c>
      <c r="L28" s="38">
        <f t="shared" si="7"/>
        <v>0</v>
      </c>
      <c r="M28" s="38">
        <f t="shared" si="7"/>
        <v>0</v>
      </c>
      <c r="N28" s="38">
        <f t="shared" si="7"/>
        <v>0</v>
      </c>
      <c r="O28" s="38">
        <f t="shared" si="7"/>
        <v>0</v>
      </c>
      <c r="P28" s="38">
        <f t="shared" si="7"/>
        <v>0</v>
      </c>
      <c r="Q28" s="39"/>
      <c r="R28" s="68"/>
    </row>
    <row r="29" spans="1:18" ht="18.75" customHeight="1">
      <c r="A29" s="75"/>
      <c r="B29" s="74"/>
      <c r="C29" s="74"/>
      <c r="D29" s="74"/>
      <c r="E29" s="44"/>
      <c r="F29" s="72">
        <v>2017</v>
      </c>
      <c r="G29" s="38">
        <f>G36+G43</f>
        <v>262771.39999999997</v>
      </c>
      <c r="H29" s="38">
        <f>H36+H43</f>
        <v>181800.9</v>
      </c>
      <c r="I29" s="38">
        <f>I36+I43</f>
        <v>51800.899999999994</v>
      </c>
      <c r="J29" s="38">
        <f aca="true" t="shared" si="8" ref="J29:P29">J36+J43</f>
        <v>51800.899999999994</v>
      </c>
      <c r="K29" s="38">
        <f t="shared" si="8"/>
        <v>100000</v>
      </c>
      <c r="L29" s="38">
        <f t="shared" si="8"/>
        <v>100000</v>
      </c>
      <c r="M29" s="38">
        <f t="shared" si="8"/>
        <v>110970.5</v>
      </c>
      <c r="N29" s="38">
        <f t="shared" si="8"/>
        <v>30000</v>
      </c>
      <c r="O29" s="38">
        <f t="shared" si="8"/>
        <v>0</v>
      </c>
      <c r="P29" s="38">
        <f t="shared" si="8"/>
        <v>0</v>
      </c>
      <c r="Q29" s="39"/>
      <c r="R29" s="68"/>
    </row>
    <row r="30" spans="1:18" ht="24" customHeight="1">
      <c r="A30" s="75"/>
      <c r="B30" s="74"/>
      <c r="C30" s="74"/>
      <c r="D30" s="74"/>
      <c r="E30" s="44"/>
      <c r="F30" s="72">
        <v>2018</v>
      </c>
      <c r="G30" s="38">
        <f>G37+G44</f>
        <v>2652146</v>
      </c>
      <c r="H30" s="38">
        <f aca="true" t="shared" si="9" ref="H30:P30">H37+H44</f>
        <v>0</v>
      </c>
      <c r="I30" s="38">
        <f t="shared" si="9"/>
        <v>330433.8</v>
      </c>
      <c r="J30" s="38">
        <f t="shared" si="9"/>
        <v>0</v>
      </c>
      <c r="K30" s="38">
        <f t="shared" si="9"/>
        <v>1796553.5</v>
      </c>
      <c r="L30" s="38">
        <f t="shared" si="9"/>
        <v>0</v>
      </c>
      <c r="M30" s="38">
        <f t="shared" si="9"/>
        <v>525158.7</v>
      </c>
      <c r="N30" s="38">
        <f t="shared" si="9"/>
        <v>0</v>
      </c>
      <c r="O30" s="38">
        <f t="shared" si="9"/>
        <v>0</v>
      </c>
      <c r="P30" s="38">
        <f t="shared" si="9"/>
        <v>0</v>
      </c>
      <c r="Q30" s="39"/>
      <c r="R30" s="68"/>
    </row>
    <row r="31" spans="1:18" ht="24" customHeight="1">
      <c r="A31" s="75"/>
      <c r="B31" s="74"/>
      <c r="C31" s="74"/>
      <c r="D31" s="74"/>
      <c r="E31" s="44"/>
      <c r="F31" s="72">
        <v>2019</v>
      </c>
      <c r="G31" s="38">
        <f aca="true" t="shared" si="10" ref="G31:P31">G38+G45</f>
        <v>504840.9</v>
      </c>
      <c r="H31" s="38">
        <f t="shared" si="10"/>
        <v>0</v>
      </c>
      <c r="I31" s="38">
        <f t="shared" si="10"/>
        <v>77868.7</v>
      </c>
      <c r="J31" s="38">
        <f t="shared" si="10"/>
        <v>0</v>
      </c>
      <c r="K31" s="38">
        <f t="shared" si="10"/>
        <v>0</v>
      </c>
      <c r="L31" s="38">
        <f t="shared" si="10"/>
        <v>0</v>
      </c>
      <c r="M31" s="38">
        <f t="shared" si="10"/>
        <v>426972.2</v>
      </c>
      <c r="N31" s="38">
        <f t="shared" si="10"/>
        <v>0</v>
      </c>
      <c r="O31" s="38">
        <f t="shared" si="10"/>
        <v>0</v>
      </c>
      <c r="P31" s="38">
        <f t="shared" si="10"/>
        <v>0</v>
      </c>
      <c r="Q31" s="39"/>
      <c r="R31" s="68"/>
    </row>
    <row r="32" spans="1:18" ht="21.75" customHeight="1">
      <c r="A32" s="75"/>
      <c r="B32" s="74"/>
      <c r="C32" s="74"/>
      <c r="D32" s="74"/>
      <c r="E32" s="44"/>
      <c r="F32" s="72">
        <v>2020</v>
      </c>
      <c r="G32" s="38">
        <f aca="true" t="shared" si="11" ref="G32:P32">G39+G46</f>
        <v>466883.9</v>
      </c>
      <c r="H32" s="38">
        <f t="shared" si="11"/>
        <v>0</v>
      </c>
      <c r="I32" s="38">
        <f>I39+I46</f>
        <v>39911.7</v>
      </c>
      <c r="J32" s="38">
        <f t="shared" si="11"/>
        <v>0</v>
      </c>
      <c r="K32" s="38">
        <f t="shared" si="11"/>
        <v>0</v>
      </c>
      <c r="L32" s="38">
        <f t="shared" si="11"/>
        <v>0</v>
      </c>
      <c r="M32" s="38">
        <f t="shared" si="11"/>
        <v>426972.2</v>
      </c>
      <c r="N32" s="38">
        <f t="shared" si="11"/>
        <v>0</v>
      </c>
      <c r="O32" s="38">
        <f t="shared" si="11"/>
        <v>0</v>
      </c>
      <c r="P32" s="38">
        <f t="shared" si="11"/>
        <v>0</v>
      </c>
      <c r="Q32" s="39"/>
      <c r="R32" s="68"/>
    </row>
    <row r="33" spans="1:18" ht="19.5" customHeight="1">
      <c r="A33" s="75"/>
      <c r="B33" s="74" t="s">
        <v>189</v>
      </c>
      <c r="C33" s="74"/>
      <c r="D33" s="74"/>
      <c r="E33" s="44"/>
      <c r="F33" s="67" t="s">
        <v>98</v>
      </c>
      <c r="G33" s="40">
        <f>I33+K33+M33+O33</f>
        <v>444212.30000000005</v>
      </c>
      <c r="H33" s="40">
        <f>J33+L33+N33+P33</f>
        <v>8726.9</v>
      </c>
      <c r="I33" s="40">
        <f>SUM(I34:I39)</f>
        <v>429212.30000000005</v>
      </c>
      <c r="J33" s="40">
        <f aca="true" t="shared" si="12" ref="J33:P33">SUM(J34:J39)</f>
        <v>8726.9</v>
      </c>
      <c r="K33" s="76">
        <f t="shared" si="12"/>
        <v>0</v>
      </c>
      <c r="L33" s="76">
        <f t="shared" si="12"/>
        <v>0</v>
      </c>
      <c r="M33" s="76">
        <f t="shared" si="12"/>
        <v>15000</v>
      </c>
      <c r="N33" s="76">
        <f t="shared" si="12"/>
        <v>0</v>
      </c>
      <c r="O33" s="76">
        <f t="shared" si="12"/>
        <v>0</v>
      </c>
      <c r="P33" s="76">
        <f t="shared" si="12"/>
        <v>0</v>
      </c>
      <c r="Q33" s="39"/>
      <c r="R33" s="68"/>
    </row>
    <row r="34" spans="1:18" ht="20.25" customHeight="1">
      <c r="A34" s="75"/>
      <c r="B34" s="74"/>
      <c r="C34" s="74"/>
      <c r="D34" s="74"/>
      <c r="E34" s="44"/>
      <c r="F34" s="72">
        <v>2015</v>
      </c>
      <c r="G34" s="38">
        <f aca="true" t="shared" si="13" ref="G34:G39">I34+K34+M34+O34</f>
        <v>181.7</v>
      </c>
      <c r="H34" s="42">
        <f aca="true" t="shared" si="14" ref="H34:H40">J34+L34+N34+P34</f>
        <v>181.7</v>
      </c>
      <c r="I34" s="38">
        <f>I52</f>
        <v>181.7</v>
      </c>
      <c r="J34" s="38">
        <f aca="true" t="shared" si="15" ref="J34:P34">J52</f>
        <v>181.7</v>
      </c>
      <c r="K34" s="38">
        <f t="shared" si="15"/>
        <v>0</v>
      </c>
      <c r="L34" s="38">
        <f t="shared" si="15"/>
        <v>0</v>
      </c>
      <c r="M34" s="38">
        <f t="shared" si="15"/>
        <v>0</v>
      </c>
      <c r="N34" s="38">
        <f t="shared" si="15"/>
        <v>0</v>
      </c>
      <c r="O34" s="38">
        <f t="shared" si="15"/>
        <v>0</v>
      </c>
      <c r="P34" s="38">
        <f t="shared" si="15"/>
        <v>0</v>
      </c>
      <c r="Q34" s="39"/>
      <c r="R34" s="68"/>
    </row>
    <row r="35" spans="1:18" ht="19.5" customHeight="1">
      <c r="A35" s="75"/>
      <c r="B35" s="74"/>
      <c r="C35" s="74"/>
      <c r="D35" s="74"/>
      <c r="E35" s="44"/>
      <c r="F35" s="72">
        <v>2016</v>
      </c>
      <c r="G35" s="38">
        <f t="shared" si="13"/>
        <v>551.1</v>
      </c>
      <c r="H35" s="38">
        <f t="shared" si="14"/>
        <v>551.1</v>
      </c>
      <c r="I35" s="38">
        <f aca="true" t="shared" si="16" ref="I35:P35">I74+I60+I71+I55</f>
        <v>551.1</v>
      </c>
      <c r="J35" s="38">
        <f t="shared" si="16"/>
        <v>551.1</v>
      </c>
      <c r="K35" s="38">
        <f t="shared" si="16"/>
        <v>0</v>
      </c>
      <c r="L35" s="38">
        <f t="shared" si="16"/>
        <v>0</v>
      </c>
      <c r="M35" s="38">
        <f t="shared" si="16"/>
        <v>0</v>
      </c>
      <c r="N35" s="38">
        <f t="shared" si="16"/>
        <v>0</v>
      </c>
      <c r="O35" s="38">
        <f t="shared" si="16"/>
        <v>0</v>
      </c>
      <c r="P35" s="38">
        <f t="shared" si="16"/>
        <v>0</v>
      </c>
      <c r="Q35" s="39"/>
      <c r="R35" s="68"/>
    </row>
    <row r="36" spans="1:18" ht="21.75" customHeight="1">
      <c r="A36" s="75"/>
      <c r="B36" s="74"/>
      <c r="C36" s="74"/>
      <c r="D36" s="74"/>
      <c r="E36" s="44"/>
      <c r="F36" s="72">
        <v>2017</v>
      </c>
      <c r="G36" s="38">
        <f t="shared" si="13"/>
        <v>7994.1</v>
      </c>
      <c r="H36" s="42">
        <f>J36+L36+N36+P36</f>
        <v>7994.1</v>
      </c>
      <c r="I36" s="38">
        <f>I58</f>
        <v>7994.1</v>
      </c>
      <c r="J36" s="38">
        <f aca="true" t="shared" si="17" ref="J36:P36">J58</f>
        <v>7994.1</v>
      </c>
      <c r="K36" s="38">
        <f t="shared" si="17"/>
        <v>0</v>
      </c>
      <c r="L36" s="38">
        <f t="shared" si="17"/>
        <v>0</v>
      </c>
      <c r="M36" s="38">
        <f t="shared" si="17"/>
        <v>0</v>
      </c>
      <c r="N36" s="38">
        <f t="shared" si="17"/>
        <v>0</v>
      </c>
      <c r="O36" s="38">
        <f t="shared" si="17"/>
        <v>0</v>
      </c>
      <c r="P36" s="38">
        <f t="shared" si="17"/>
        <v>0</v>
      </c>
      <c r="Q36" s="39"/>
      <c r="R36" s="68"/>
    </row>
    <row r="37" spans="1:18" ht="21.75" customHeight="1">
      <c r="A37" s="75"/>
      <c r="B37" s="74"/>
      <c r="C37" s="74"/>
      <c r="D37" s="74"/>
      <c r="E37" s="44"/>
      <c r="F37" s="72">
        <v>2018</v>
      </c>
      <c r="G37" s="38">
        <f t="shared" si="13"/>
        <v>317705</v>
      </c>
      <c r="H37" s="42">
        <f t="shared" si="14"/>
        <v>0</v>
      </c>
      <c r="I37" s="38">
        <f>I81+I82+I83+I84+I85+I86+I87+I88+I89+I91+I65+I72+I73+I90+I64+I66+I67+I69+I70+I75+I63</f>
        <v>302705</v>
      </c>
      <c r="J37" s="38">
        <f aca="true" t="shared" si="18" ref="J37:P37">J81+J82+J83+J84+J85+J86+J87+J88+J89+J91+J65+J72+J73+J90+J64+J66+J67+J69+J70+J75+J63</f>
        <v>0</v>
      </c>
      <c r="K37" s="38">
        <f t="shared" si="18"/>
        <v>0</v>
      </c>
      <c r="L37" s="38">
        <f t="shared" si="18"/>
        <v>0</v>
      </c>
      <c r="M37" s="38">
        <f t="shared" si="18"/>
        <v>15000</v>
      </c>
      <c r="N37" s="38">
        <f t="shared" si="18"/>
        <v>0</v>
      </c>
      <c r="O37" s="38">
        <f t="shared" si="18"/>
        <v>0</v>
      </c>
      <c r="P37" s="38">
        <f t="shared" si="18"/>
        <v>0</v>
      </c>
      <c r="Q37" s="39"/>
      <c r="R37" s="68"/>
    </row>
    <row r="38" spans="1:18" ht="18.75" customHeight="1">
      <c r="A38" s="75"/>
      <c r="B38" s="74"/>
      <c r="C38" s="74"/>
      <c r="D38" s="74"/>
      <c r="E38" s="44"/>
      <c r="F38" s="72">
        <v>2019</v>
      </c>
      <c r="G38" s="38">
        <f t="shared" si="13"/>
        <v>77868.7</v>
      </c>
      <c r="H38" s="42">
        <f t="shared" si="14"/>
        <v>0</v>
      </c>
      <c r="I38" s="38">
        <f>I92+I94+I95+I96+I97+I68</f>
        <v>77868.7</v>
      </c>
      <c r="J38" s="38">
        <f aca="true" t="shared" si="19" ref="J38:P38">J92+J94+J95+J96+J97+J68</f>
        <v>0</v>
      </c>
      <c r="K38" s="38">
        <f t="shared" si="19"/>
        <v>0</v>
      </c>
      <c r="L38" s="38">
        <f t="shared" si="19"/>
        <v>0</v>
      </c>
      <c r="M38" s="38">
        <f t="shared" si="19"/>
        <v>0</v>
      </c>
      <c r="N38" s="38">
        <f t="shared" si="19"/>
        <v>0</v>
      </c>
      <c r="O38" s="38">
        <f t="shared" si="19"/>
        <v>0</v>
      </c>
      <c r="P38" s="38">
        <f t="shared" si="19"/>
        <v>0</v>
      </c>
      <c r="Q38" s="39"/>
      <c r="R38" s="68"/>
    </row>
    <row r="39" spans="1:18" ht="20.25" customHeight="1">
      <c r="A39" s="75"/>
      <c r="B39" s="74"/>
      <c r="C39" s="74"/>
      <c r="D39" s="74"/>
      <c r="E39" s="44"/>
      <c r="F39" s="72">
        <v>2020</v>
      </c>
      <c r="G39" s="38">
        <f t="shared" si="13"/>
        <v>39911.7</v>
      </c>
      <c r="H39" s="42">
        <f t="shared" si="14"/>
        <v>0</v>
      </c>
      <c r="I39" s="38">
        <f>I93+I98+I99</f>
        <v>39911.7</v>
      </c>
      <c r="J39" s="38">
        <f aca="true" t="shared" si="20" ref="J39:P39">J93+J98+J99</f>
        <v>0</v>
      </c>
      <c r="K39" s="38">
        <f t="shared" si="20"/>
        <v>0</v>
      </c>
      <c r="L39" s="38">
        <f t="shared" si="20"/>
        <v>0</v>
      </c>
      <c r="M39" s="38">
        <f t="shared" si="20"/>
        <v>0</v>
      </c>
      <c r="N39" s="38">
        <f t="shared" si="20"/>
        <v>0</v>
      </c>
      <c r="O39" s="38">
        <f t="shared" si="20"/>
        <v>0</v>
      </c>
      <c r="P39" s="38">
        <f t="shared" si="20"/>
        <v>0</v>
      </c>
      <c r="Q39" s="39"/>
      <c r="R39" s="68"/>
    </row>
    <row r="40" spans="1:18" ht="18" customHeight="1">
      <c r="A40" s="75"/>
      <c r="B40" s="74" t="s">
        <v>123</v>
      </c>
      <c r="C40" s="74"/>
      <c r="D40" s="74"/>
      <c r="E40" s="44"/>
      <c r="F40" s="67" t="s">
        <v>98</v>
      </c>
      <c r="G40" s="40">
        <f>I40+K40+M40+O40</f>
        <v>3582480.7</v>
      </c>
      <c r="H40" s="40">
        <f t="shared" si="14"/>
        <v>313124.8</v>
      </c>
      <c r="I40" s="40">
        <f>SUM(I41:I46)</f>
        <v>210853.59999999998</v>
      </c>
      <c r="J40" s="40">
        <f aca="true" t="shared" si="21" ref="J40:P40">SUM(J41:J46)</f>
        <v>183124.8</v>
      </c>
      <c r="K40" s="40">
        <f t="shared" si="21"/>
        <v>1896553.5</v>
      </c>
      <c r="L40" s="40">
        <f t="shared" si="21"/>
        <v>100000</v>
      </c>
      <c r="M40" s="40">
        <f t="shared" si="21"/>
        <v>1475073.5999999999</v>
      </c>
      <c r="N40" s="40">
        <f t="shared" si="21"/>
        <v>30000</v>
      </c>
      <c r="O40" s="40">
        <f t="shared" si="21"/>
        <v>0</v>
      </c>
      <c r="P40" s="40">
        <f t="shared" si="21"/>
        <v>0</v>
      </c>
      <c r="Q40" s="39"/>
      <c r="R40" s="68"/>
    </row>
    <row r="41" spans="1:18" ht="21.75" customHeight="1">
      <c r="A41" s="75"/>
      <c r="B41" s="74"/>
      <c r="C41" s="74"/>
      <c r="D41" s="74"/>
      <c r="E41" s="44"/>
      <c r="F41" s="72">
        <v>2015</v>
      </c>
      <c r="G41" s="52">
        <f aca="true" t="shared" si="22" ref="G41:G46">I41+K41+M41+O41</f>
        <v>59508.3</v>
      </c>
      <c r="H41" s="52">
        <f aca="true" t="shared" si="23" ref="H41:H46">J41+L41+N41+P41</f>
        <v>59508.3</v>
      </c>
      <c r="I41" s="52">
        <f aca="true" t="shared" si="24" ref="I41:P41">I47+I49+I56</f>
        <v>59508.3</v>
      </c>
      <c r="J41" s="52">
        <f t="shared" si="24"/>
        <v>59508.3</v>
      </c>
      <c r="K41" s="52">
        <f t="shared" si="24"/>
        <v>0</v>
      </c>
      <c r="L41" s="52">
        <f t="shared" si="24"/>
        <v>0</v>
      </c>
      <c r="M41" s="52">
        <f t="shared" si="24"/>
        <v>0</v>
      </c>
      <c r="N41" s="52">
        <f t="shared" si="24"/>
        <v>0</v>
      </c>
      <c r="O41" s="52">
        <f t="shared" si="24"/>
        <v>0</v>
      </c>
      <c r="P41" s="52">
        <f t="shared" si="24"/>
        <v>0</v>
      </c>
      <c r="Q41" s="39"/>
      <c r="R41" s="68"/>
    </row>
    <row r="42" spans="1:18" ht="19.5" customHeight="1">
      <c r="A42" s="75"/>
      <c r="B42" s="74"/>
      <c r="C42" s="74"/>
      <c r="D42" s="74"/>
      <c r="E42" s="44"/>
      <c r="F42" s="72">
        <v>2016</v>
      </c>
      <c r="G42" s="52">
        <f t="shared" si="22"/>
        <v>79809.70000000001</v>
      </c>
      <c r="H42" s="52">
        <f>J42+L42+N42+P42</f>
        <v>79809.70000000001</v>
      </c>
      <c r="I42" s="52">
        <f>I50+I48+I53+I57+I54</f>
        <v>79809.70000000001</v>
      </c>
      <c r="J42" s="52">
        <f aca="true" t="shared" si="25" ref="J42:P42">J50+J48+J53+J57+J54</f>
        <v>79809.70000000001</v>
      </c>
      <c r="K42" s="52">
        <f t="shared" si="25"/>
        <v>0</v>
      </c>
      <c r="L42" s="52">
        <f t="shared" si="25"/>
        <v>0</v>
      </c>
      <c r="M42" s="52">
        <f t="shared" si="25"/>
        <v>0</v>
      </c>
      <c r="N42" s="52">
        <f t="shared" si="25"/>
        <v>0</v>
      </c>
      <c r="O42" s="52">
        <f t="shared" si="25"/>
        <v>0</v>
      </c>
      <c r="P42" s="52">
        <f t="shared" si="25"/>
        <v>0</v>
      </c>
      <c r="Q42" s="39"/>
      <c r="R42" s="68"/>
    </row>
    <row r="43" spans="1:18" ht="18.75" customHeight="1">
      <c r="A43" s="75"/>
      <c r="B43" s="74"/>
      <c r="C43" s="74"/>
      <c r="D43" s="74"/>
      <c r="E43" s="44"/>
      <c r="F43" s="72">
        <v>2017</v>
      </c>
      <c r="G43" s="52">
        <f>I43+K43+M43+O43</f>
        <v>254777.3</v>
      </c>
      <c r="H43" s="52">
        <f t="shared" si="23"/>
        <v>173806.8</v>
      </c>
      <c r="I43" s="52">
        <f aca="true" t="shared" si="26" ref="I43:P43">I51+I59+I79+I61</f>
        <v>43806.799999999996</v>
      </c>
      <c r="J43" s="52">
        <f t="shared" si="26"/>
        <v>43806.799999999996</v>
      </c>
      <c r="K43" s="52">
        <f t="shared" si="26"/>
        <v>100000</v>
      </c>
      <c r="L43" s="52">
        <f t="shared" si="26"/>
        <v>100000</v>
      </c>
      <c r="M43" s="52">
        <f t="shared" si="26"/>
        <v>110970.5</v>
      </c>
      <c r="N43" s="52">
        <f t="shared" si="26"/>
        <v>30000</v>
      </c>
      <c r="O43" s="52">
        <f t="shared" si="26"/>
        <v>0</v>
      </c>
      <c r="P43" s="52">
        <f t="shared" si="26"/>
        <v>0</v>
      </c>
      <c r="Q43" s="39"/>
      <c r="R43" s="68"/>
    </row>
    <row r="44" spans="1:18" ht="17.25" customHeight="1">
      <c r="A44" s="75"/>
      <c r="B44" s="74"/>
      <c r="C44" s="74"/>
      <c r="D44" s="74"/>
      <c r="E44" s="44"/>
      <c r="F44" s="72">
        <v>2018</v>
      </c>
      <c r="G44" s="52">
        <f t="shared" si="22"/>
        <v>2334441</v>
      </c>
      <c r="H44" s="52">
        <f t="shared" si="23"/>
        <v>0</v>
      </c>
      <c r="I44" s="52">
        <f>I62+I76+I80</f>
        <v>27728.8</v>
      </c>
      <c r="J44" s="52">
        <f aca="true" t="shared" si="27" ref="J44:P44">J62+J76+J80</f>
        <v>0</v>
      </c>
      <c r="K44" s="52">
        <f t="shared" si="27"/>
        <v>1796553.5</v>
      </c>
      <c r="L44" s="52">
        <f t="shared" si="27"/>
        <v>0</v>
      </c>
      <c r="M44" s="52">
        <f t="shared" si="27"/>
        <v>510158.7</v>
      </c>
      <c r="N44" s="52">
        <f t="shared" si="27"/>
        <v>0</v>
      </c>
      <c r="O44" s="52">
        <f t="shared" si="27"/>
        <v>0</v>
      </c>
      <c r="P44" s="52">
        <f t="shared" si="27"/>
        <v>0</v>
      </c>
      <c r="Q44" s="39"/>
      <c r="R44" s="68"/>
    </row>
    <row r="45" spans="1:18" ht="19.5" customHeight="1">
      <c r="A45" s="75"/>
      <c r="B45" s="74"/>
      <c r="C45" s="74"/>
      <c r="D45" s="74"/>
      <c r="E45" s="44"/>
      <c r="F45" s="72">
        <v>2019</v>
      </c>
      <c r="G45" s="52">
        <f t="shared" si="22"/>
        <v>426972.2</v>
      </c>
      <c r="H45" s="52">
        <f t="shared" si="23"/>
        <v>0</v>
      </c>
      <c r="I45" s="47">
        <f>I77</f>
        <v>0</v>
      </c>
      <c r="J45" s="47">
        <f aca="true" t="shared" si="28" ref="J45:P45">J77</f>
        <v>0</v>
      </c>
      <c r="K45" s="47">
        <f t="shared" si="28"/>
        <v>0</v>
      </c>
      <c r="L45" s="47">
        <f t="shared" si="28"/>
        <v>0</v>
      </c>
      <c r="M45" s="47">
        <f t="shared" si="28"/>
        <v>426972.2</v>
      </c>
      <c r="N45" s="47">
        <f t="shared" si="28"/>
        <v>0</v>
      </c>
      <c r="O45" s="47">
        <f t="shared" si="28"/>
        <v>0</v>
      </c>
      <c r="P45" s="47">
        <f t="shared" si="28"/>
        <v>0</v>
      </c>
      <c r="Q45" s="39"/>
      <c r="R45" s="68"/>
    </row>
    <row r="46" spans="1:18" ht="18" customHeight="1">
      <c r="A46" s="75"/>
      <c r="B46" s="74"/>
      <c r="C46" s="74"/>
      <c r="D46" s="74"/>
      <c r="E46" s="44"/>
      <c r="F46" s="72">
        <v>2020</v>
      </c>
      <c r="G46" s="52">
        <f t="shared" si="22"/>
        <v>426972.2</v>
      </c>
      <c r="H46" s="52">
        <f t="shared" si="23"/>
        <v>0</v>
      </c>
      <c r="I46" s="52">
        <f>I78</f>
        <v>0</v>
      </c>
      <c r="J46" s="52">
        <f aca="true" t="shared" si="29" ref="J46:P46">J78</f>
        <v>0</v>
      </c>
      <c r="K46" s="52">
        <f t="shared" si="29"/>
        <v>0</v>
      </c>
      <c r="L46" s="52">
        <f t="shared" si="29"/>
        <v>0</v>
      </c>
      <c r="M46" s="52">
        <f t="shared" si="29"/>
        <v>426972.2</v>
      </c>
      <c r="N46" s="52">
        <f t="shared" si="29"/>
        <v>0</v>
      </c>
      <c r="O46" s="52">
        <f t="shared" si="29"/>
        <v>0</v>
      </c>
      <c r="P46" s="52">
        <f t="shared" si="29"/>
        <v>0</v>
      </c>
      <c r="Q46" s="39"/>
      <c r="R46" s="68"/>
    </row>
    <row r="47" spans="1:18" ht="63" customHeight="1">
      <c r="A47" s="77" t="s">
        <v>104</v>
      </c>
      <c r="B47" s="78" t="s">
        <v>4</v>
      </c>
      <c r="C47" s="78">
        <v>1.707</v>
      </c>
      <c r="D47" s="79" t="s">
        <v>3</v>
      </c>
      <c r="E47" s="79"/>
      <c r="F47" s="79">
        <v>2015</v>
      </c>
      <c r="G47" s="38">
        <f aca="true" t="shared" si="30" ref="G47:G60">I47+K47+M47+O47</f>
        <v>9229.800000000001</v>
      </c>
      <c r="H47" s="38">
        <f aca="true" t="shared" si="31" ref="H47:H60">J47+L47+N47+P47</f>
        <v>9229.800000000001</v>
      </c>
      <c r="I47" s="47">
        <f>28109.2-18879.3-0.1</f>
        <v>9229.800000000001</v>
      </c>
      <c r="J47" s="47">
        <f>28109.2-18879.3-0.1</f>
        <v>9229.800000000001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8" t="s">
        <v>183</v>
      </c>
      <c r="R47" s="68"/>
    </row>
    <row r="48" spans="1:18" ht="63" customHeight="1">
      <c r="A48" s="80"/>
      <c r="B48" s="81"/>
      <c r="C48" s="81"/>
      <c r="D48" s="79" t="s">
        <v>3</v>
      </c>
      <c r="E48" s="79" t="s">
        <v>247</v>
      </c>
      <c r="F48" s="79">
        <v>2016</v>
      </c>
      <c r="G48" s="38">
        <f>I48+K48+M48+O48</f>
        <v>15374.699999999999</v>
      </c>
      <c r="H48" s="38">
        <f>J48+L48+N48+P48</f>
        <v>15374.699999999999</v>
      </c>
      <c r="I48" s="47">
        <f>18879.3-3504.6</f>
        <v>15374.699999999999</v>
      </c>
      <c r="J48" s="47">
        <f>18879.3-3504.6</f>
        <v>15374.699999999999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8" t="s">
        <v>183</v>
      </c>
      <c r="R48" s="68"/>
    </row>
    <row r="49" spans="1:18" ht="54.75" customHeight="1">
      <c r="A49" s="77" t="s">
        <v>105</v>
      </c>
      <c r="B49" s="78" t="s">
        <v>122</v>
      </c>
      <c r="C49" s="78">
        <v>1.625</v>
      </c>
      <c r="D49" s="79" t="s">
        <v>3</v>
      </c>
      <c r="E49" s="79"/>
      <c r="F49" s="79">
        <v>2015</v>
      </c>
      <c r="G49" s="38">
        <f t="shared" si="30"/>
        <v>49518.8</v>
      </c>
      <c r="H49" s="38">
        <f t="shared" si="31"/>
        <v>49518.8</v>
      </c>
      <c r="I49" s="47">
        <v>49518.8</v>
      </c>
      <c r="J49" s="47">
        <v>49518.8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9" t="s">
        <v>131</v>
      </c>
      <c r="R49" s="68"/>
    </row>
    <row r="50" spans="1:18" ht="49.5" customHeight="1">
      <c r="A50" s="80"/>
      <c r="B50" s="81"/>
      <c r="C50" s="81"/>
      <c r="D50" s="79" t="s">
        <v>3</v>
      </c>
      <c r="E50" s="79" t="s">
        <v>247</v>
      </c>
      <c r="F50" s="79">
        <v>2016</v>
      </c>
      <c r="G50" s="38">
        <f t="shared" si="30"/>
        <v>64198.7</v>
      </c>
      <c r="H50" s="38">
        <f t="shared" si="31"/>
        <v>64198.7</v>
      </c>
      <c r="I50" s="47">
        <f>109198.7-45000</f>
        <v>64198.7</v>
      </c>
      <c r="J50" s="47">
        <f>109198.7-45000</f>
        <v>64198.7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9"/>
      <c r="R50" s="68"/>
    </row>
    <row r="51" spans="1:18" ht="49.5" customHeight="1">
      <c r="A51" s="82"/>
      <c r="B51" s="83"/>
      <c r="C51" s="83"/>
      <c r="D51" s="79" t="s">
        <v>3</v>
      </c>
      <c r="E51" s="79" t="s">
        <v>247</v>
      </c>
      <c r="F51" s="79">
        <v>2017</v>
      </c>
      <c r="G51" s="38">
        <f>I51+K51+M51+O51</f>
        <v>31424.6</v>
      </c>
      <c r="H51" s="38">
        <f>J51+L51+N51+P51</f>
        <v>31424.6</v>
      </c>
      <c r="I51" s="47">
        <f>45000-357.8-4672.7-8544.9</f>
        <v>31424.6</v>
      </c>
      <c r="J51" s="47">
        <f>45000-357.8-4672.7-8544.9</f>
        <v>31424.6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8"/>
      <c r="R51" s="68"/>
    </row>
    <row r="52" spans="1:18" ht="57.75" customHeight="1">
      <c r="A52" s="77" t="s">
        <v>134</v>
      </c>
      <c r="B52" s="79" t="s">
        <v>132</v>
      </c>
      <c r="C52" s="78">
        <v>4.713</v>
      </c>
      <c r="D52" s="79" t="s">
        <v>2</v>
      </c>
      <c r="E52" s="79"/>
      <c r="F52" s="79">
        <v>2015</v>
      </c>
      <c r="G52" s="38">
        <f t="shared" si="30"/>
        <v>181.7</v>
      </c>
      <c r="H52" s="38">
        <f t="shared" si="31"/>
        <v>181.7</v>
      </c>
      <c r="I52" s="47">
        <f>84.4+97.3</f>
        <v>181.7</v>
      </c>
      <c r="J52" s="47">
        <f>84.4+97.3</f>
        <v>181.7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8" t="s">
        <v>184</v>
      </c>
      <c r="R52" s="68"/>
    </row>
    <row r="53" spans="1:18" ht="57.75" customHeight="1">
      <c r="A53" s="80"/>
      <c r="B53" s="78" t="s">
        <v>226</v>
      </c>
      <c r="C53" s="81"/>
      <c r="D53" s="79" t="s">
        <v>227</v>
      </c>
      <c r="E53" s="79" t="s">
        <v>247</v>
      </c>
      <c r="F53" s="79">
        <v>2016</v>
      </c>
      <c r="G53" s="38">
        <f aca="true" t="shared" si="32" ref="G53:H55">I53+K53+M53+O53</f>
        <v>109.1</v>
      </c>
      <c r="H53" s="38">
        <f t="shared" si="32"/>
        <v>109.1</v>
      </c>
      <c r="I53" s="47">
        <f>96.8+12.3</f>
        <v>109.1</v>
      </c>
      <c r="J53" s="47">
        <f>96.8+12.3</f>
        <v>109.1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8"/>
      <c r="R53" s="68"/>
    </row>
    <row r="54" spans="1:18" ht="78.75" customHeight="1">
      <c r="A54" s="80"/>
      <c r="B54" s="81"/>
      <c r="C54" s="81"/>
      <c r="D54" s="79" t="s">
        <v>228</v>
      </c>
      <c r="E54" s="79" t="s">
        <v>247</v>
      </c>
      <c r="F54" s="79">
        <v>2016</v>
      </c>
      <c r="G54" s="38">
        <f t="shared" si="32"/>
        <v>121.6</v>
      </c>
      <c r="H54" s="38">
        <f t="shared" si="32"/>
        <v>121.6</v>
      </c>
      <c r="I54" s="47">
        <f>99.8+21.8</f>
        <v>121.6</v>
      </c>
      <c r="J54" s="47">
        <f>99.8+21.8</f>
        <v>121.6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8"/>
      <c r="R54" s="68"/>
    </row>
    <row r="55" spans="1:18" ht="78.75" customHeight="1">
      <c r="A55" s="82"/>
      <c r="B55" s="83"/>
      <c r="C55" s="83"/>
      <c r="D55" s="79" t="s">
        <v>242</v>
      </c>
      <c r="E55" s="79" t="s">
        <v>247</v>
      </c>
      <c r="F55" s="79">
        <v>2016</v>
      </c>
      <c r="G55" s="38">
        <f t="shared" si="32"/>
        <v>60</v>
      </c>
      <c r="H55" s="38">
        <f t="shared" si="32"/>
        <v>60</v>
      </c>
      <c r="I55" s="47">
        <v>60</v>
      </c>
      <c r="J55" s="47">
        <v>60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8"/>
      <c r="R55" s="68"/>
    </row>
    <row r="56" spans="1:18" ht="202.5" customHeight="1">
      <c r="A56" s="77" t="s">
        <v>106</v>
      </c>
      <c r="B56" s="84" t="s">
        <v>41</v>
      </c>
      <c r="C56" s="84">
        <v>2.78</v>
      </c>
      <c r="D56" s="85" t="s">
        <v>3</v>
      </c>
      <c r="E56" s="85"/>
      <c r="F56" s="72">
        <v>2015</v>
      </c>
      <c r="G56" s="38">
        <f t="shared" si="30"/>
        <v>759.6999999999999</v>
      </c>
      <c r="H56" s="38">
        <f t="shared" si="31"/>
        <v>759.6999999999999</v>
      </c>
      <c r="I56" s="47">
        <f>341.1+448.7-30.1</f>
        <v>759.6999999999999</v>
      </c>
      <c r="J56" s="47">
        <f>341.1+448.7-30.1</f>
        <v>759.6999999999999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8" t="s">
        <v>161</v>
      </c>
      <c r="R56" s="68"/>
    </row>
    <row r="57" spans="1:18" ht="51.75" customHeight="1">
      <c r="A57" s="80"/>
      <c r="B57" s="86"/>
      <c r="C57" s="86"/>
      <c r="D57" s="85" t="s">
        <v>3</v>
      </c>
      <c r="E57" s="85" t="s">
        <v>247</v>
      </c>
      <c r="F57" s="72">
        <v>2016</v>
      </c>
      <c r="G57" s="38">
        <f t="shared" si="30"/>
        <v>5.6</v>
      </c>
      <c r="H57" s="38">
        <f t="shared" si="31"/>
        <v>5.6</v>
      </c>
      <c r="I57" s="47">
        <f>5.6</f>
        <v>5.6</v>
      </c>
      <c r="J57" s="47">
        <f>5.6</f>
        <v>5.6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8"/>
      <c r="R57" s="68"/>
    </row>
    <row r="58" spans="1:18" ht="51.75" customHeight="1">
      <c r="A58" s="80"/>
      <c r="B58" s="86"/>
      <c r="C58" s="86"/>
      <c r="D58" s="85" t="s">
        <v>2</v>
      </c>
      <c r="E58" s="85" t="s">
        <v>247</v>
      </c>
      <c r="F58" s="72">
        <v>2017</v>
      </c>
      <c r="G58" s="38">
        <f>I58+K58+M58+O58</f>
        <v>7994.1</v>
      </c>
      <c r="H58" s="38">
        <f>J58+L58+N58+P58</f>
        <v>7994.1</v>
      </c>
      <c r="I58" s="47">
        <f>7994.1</f>
        <v>7994.1</v>
      </c>
      <c r="J58" s="47">
        <v>7994.1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8"/>
      <c r="R58" s="68"/>
    </row>
    <row r="59" spans="1:18" ht="51.75" customHeight="1">
      <c r="A59" s="82"/>
      <c r="B59" s="87"/>
      <c r="C59" s="87"/>
      <c r="D59" s="85" t="s">
        <v>3</v>
      </c>
      <c r="E59" s="85" t="s">
        <v>247</v>
      </c>
      <c r="F59" s="72">
        <v>2017</v>
      </c>
      <c r="G59" s="38">
        <f>I59+K59+M59+O59</f>
        <v>52.1</v>
      </c>
      <c r="H59" s="38">
        <f>J59+L59+N59+P59</f>
        <v>52.1</v>
      </c>
      <c r="I59" s="47">
        <v>52.1</v>
      </c>
      <c r="J59" s="47">
        <v>52.1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8"/>
      <c r="R59" s="68"/>
    </row>
    <row r="60" spans="1:18" ht="63" customHeight="1">
      <c r="A60" s="88" t="s">
        <v>107</v>
      </c>
      <c r="B60" s="79" t="s">
        <v>229</v>
      </c>
      <c r="C60" s="89"/>
      <c r="D60" s="79" t="s">
        <v>2</v>
      </c>
      <c r="E60" s="79" t="s">
        <v>247</v>
      </c>
      <c r="F60" s="79">
        <v>2016</v>
      </c>
      <c r="G60" s="38">
        <f t="shared" si="30"/>
        <v>411.70000000000005</v>
      </c>
      <c r="H60" s="38">
        <f t="shared" si="31"/>
        <v>411.70000000000005</v>
      </c>
      <c r="I60" s="47">
        <f>1258.4-1.7-150-695</f>
        <v>411.70000000000005</v>
      </c>
      <c r="J60" s="47">
        <f>1258.4-1.7-150-695</f>
        <v>411.70000000000005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8" t="s">
        <v>233</v>
      </c>
      <c r="R60" s="68"/>
    </row>
    <row r="61" spans="1:18" ht="288.75" customHeight="1">
      <c r="A61" s="88" t="s">
        <v>108</v>
      </c>
      <c r="B61" s="79" t="s">
        <v>399</v>
      </c>
      <c r="C61" s="89" t="s">
        <v>400</v>
      </c>
      <c r="D61" s="79" t="s">
        <v>3</v>
      </c>
      <c r="E61" s="79" t="s">
        <v>401</v>
      </c>
      <c r="F61" s="79">
        <v>2017</v>
      </c>
      <c r="G61" s="38">
        <f>I61+K61+M61+O61</f>
        <v>123300.6</v>
      </c>
      <c r="H61" s="38">
        <f>J61+L61+N61+P61</f>
        <v>42330.1</v>
      </c>
      <c r="I61" s="47">
        <v>12330.1</v>
      </c>
      <c r="J61" s="47">
        <v>12330.1</v>
      </c>
      <c r="K61" s="47">
        <v>0</v>
      </c>
      <c r="L61" s="47">
        <v>0</v>
      </c>
      <c r="M61" s="47">
        <v>110970.5</v>
      </c>
      <c r="N61" s="47">
        <v>30000</v>
      </c>
      <c r="O61" s="47">
        <v>0</v>
      </c>
      <c r="P61" s="47">
        <v>0</v>
      </c>
      <c r="Q61" s="48" t="s">
        <v>402</v>
      </c>
      <c r="R61" s="68"/>
    </row>
    <row r="62" spans="1:18" ht="57.75" customHeight="1">
      <c r="A62" s="88" t="s">
        <v>109</v>
      </c>
      <c r="B62" s="79" t="s">
        <v>168</v>
      </c>
      <c r="C62" s="89">
        <v>0.65681</v>
      </c>
      <c r="D62" s="79" t="s">
        <v>3</v>
      </c>
      <c r="E62" s="79"/>
      <c r="F62" s="79">
        <v>2018</v>
      </c>
      <c r="G62" s="38">
        <f aca="true" t="shared" si="33" ref="G62:H74">I62+K62+M62+O62</f>
        <v>110915.3</v>
      </c>
      <c r="H62" s="38">
        <f t="shared" si="33"/>
        <v>0</v>
      </c>
      <c r="I62" s="47">
        <v>27728.8</v>
      </c>
      <c r="J62" s="47">
        <v>0</v>
      </c>
      <c r="K62" s="47">
        <v>0</v>
      </c>
      <c r="L62" s="47">
        <v>0</v>
      </c>
      <c r="M62" s="47">
        <v>83186.5</v>
      </c>
      <c r="N62" s="47">
        <v>0</v>
      </c>
      <c r="O62" s="47">
        <v>0</v>
      </c>
      <c r="P62" s="47">
        <v>0</v>
      </c>
      <c r="Q62" s="48"/>
      <c r="R62" s="68"/>
    </row>
    <row r="63" spans="1:18" ht="57.75" customHeight="1">
      <c r="A63" s="88" t="s">
        <v>194</v>
      </c>
      <c r="B63" s="79" t="s">
        <v>392</v>
      </c>
      <c r="C63" s="47">
        <v>0.2</v>
      </c>
      <c r="D63" s="79" t="s">
        <v>2</v>
      </c>
      <c r="E63" s="79"/>
      <c r="F63" s="79">
        <v>2018</v>
      </c>
      <c r="G63" s="38">
        <f>I63+K63+M63+O63</f>
        <v>950</v>
      </c>
      <c r="H63" s="38">
        <f>J63+L63+N63+P63</f>
        <v>0</v>
      </c>
      <c r="I63" s="47">
        <v>950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8"/>
      <c r="R63" s="68"/>
    </row>
    <row r="64" spans="1:18" ht="93.75" customHeight="1">
      <c r="A64" s="88" t="s">
        <v>195</v>
      </c>
      <c r="B64" s="79" t="s">
        <v>225</v>
      </c>
      <c r="C64" s="79">
        <v>0.25</v>
      </c>
      <c r="D64" s="79" t="s">
        <v>2</v>
      </c>
      <c r="E64" s="79"/>
      <c r="F64" s="79">
        <v>2018</v>
      </c>
      <c r="G64" s="38">
        <f>I64+K64+M64+O64</f>
        <v>960</v>
      </c>
      <c r="H64" s="38">
        <f>J64+L64+N64+P64</f>
        <v>0</v>
      </c>
      <c r="I64" s="47">
        <v>960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8"/>
      <c r="R64" s="68"/>
    </row>
    <row r="65" spans="1:18" ht="93.75" customHeight="1">
      <c r="A65" s="88" t="s">
        <v>212</v>
      </c>
      <c r="B65" s="79" t="s">
        <v>207</v>
      </c>
      <c r="C65" s="79">
        <v>0.02</v>
      </c>
      <c r="D65" s="79" t="s">
        <v>2</v>
      </c>
      <c r="E65" s="79"/>
      <c r="F65" s="79">
        <v>2018</v>
      </c>
      <c r="G65" s="38">
        <f t="shared" si="33"/>
        <v>10000</v>
      </c>
      <c r="H65" s="38">
        <f t="shared" si="33"/>
        <v>0</v>
      </c>
      <c r="I65" s="47">
        <v>10000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8"/>
      <c r="R65" s="68"/>
    </row>
    <row r="66" spans="1:18" ht="77.25" customHeight="1">
      <c r="A66" s="88" t="s">
        <v>147</v>
      </c>
      <c r="B66" s="79" t="s">
        <v>188</v>
      </c>
      <c r="C66" s="79">
        <v>12</v>
      </c>
      <c r="D66" s="79" t="s">
        <v>2</v>
      </c>
      <c r="E66" s="79"/>
      <c r="F66" s="79">
        <v>2018</v>
      </c>
      <c r="G66" s="38">
        <f t="shared" si="33"/>
        <v>13506.7</v>
      </c>
      <c r="H66" s="38">
        <f t="shared" si="33"/>
        <v>0</v>
      </c>
      <c r="I66" s="47">
        <v>13506.7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8"/>
      <c r="R66" s="68"/>
    </row>
    <row r="67" spans="1:18" ht="38.25" customHeight="1">
      <c r="A67" s="77" t="s">
        <v>148</v>
      </c>
      <c r="B67" s="78" t="s">
        <v>210</v>
      </c>
      <c r="C67" s="78">
        <v>8</v>
      </c>
      <c r="D67" s="79" t="s">
        <v>2</v>
      </c>
      <c r="E67" s="79"/>
      <c r="F67" s="79">
        <v>2018</v>
      </c>
      <c r="G67" s="38">
        <f t="shared" si="33"/>
        <v>15000</v>
      </c>
      <c r="H67" s="38">
        <f t="shared" si="33"/>
        <v>0</v>
      </c>
      <c r="I67" s="47">
        <v>15000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8"/>
      <c r="R67" s="68"/>
    </row>
    <row r="68" spans="1:18" ht="32.25" customHeight="1">
      <c r="A68" s="82"/>
      <c r="B68" s="83"/>
      <c r="C68" s="83"/>
      <c r="D68" s="79" t="s">
        <v>2</v>
      </c>
      <c r="E68" s="79"/>
      <c r="F68" s="79">
        <v>2019</v>
      </c>
      <c r="G68" s="38">
        <f t="shared" si="33"/>
        <v>15000</v>
      </c>
      <c r="H68" s="38">
        <f t="shared" si="33"/>
        <v>0</v>
      </c>
      <c r="I68" s="47">
        <v>15000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8"/>
      <c r="R68" s="68"/>
    </row>
    <row r="69" spans="1:18" ht="48" customHeight="1">
      <c r="A69" s="90" t="s">
        <v>196</v>
      </c>
      <c r="B69" s="91" t="s">
        <v>211</v>
      </c>
      <c r="C69" s="91">
        <v>0.258</v>
      </c>
      <c r="D69" s="79" t="s">
        <v>2</v>
      </c>
      <c r="E69" s="79"/>
      <c r="F69" s="79">
        <v>2018</v>
      </c>
      <c r="G69" s="38">
        <f t="shared" si="33"/>
        <v>1120</v>
      </c>
      <c r="H69" s="38">
        <f t="shared" si="33"/>
        <v>0</v>
      </c>
      <c r="I69" s="47">
        <v>1120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8"/>
      <c r="R69" s="68"/>
    </row>
    <row r="70" spans="1:18" ht="48" customHeight="1">
      <c r="A70" s="90" t="s">
        <v>149</v>
      </c>
      <c r="B70" s="91" t="s">
        <v>213</v>
      </c>
      <c r="C70" s="91">
        <v>1</v>
      </c>
      <c r="D70" s="79" t="s">
        <v>2</v>
      </c>
      <c r="E70" s="79"/>
      <c r="F70" s="79">
        <v>2018</v>
      </c>
      <c r="G70" s="38">
        <f t="shared" si="33"/>
        <v>5000</v>
      </c>
      <c r="H70" s="38">
        <f t="shared" si="33"/>
        <v>0</v>
      </c>
      <c r="I70" s="47">
        <v>5000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8"/>
      <c r="R70" s="68"/>
    </row>
    <row r="71" spans="1:18" ht="65.25" customHeight="1">
      <c r="A71" s="77" t="s">
        <v>150</v>
      </c>
      <c r="B71" s="78" t="s">
        <v>236</v>
      </c>
      <c r="C71" s="78"/>
      <c r="D71" s="79" t="s">
        <v>238</v>
      </c>
      <c r="E71" s="79" t="s">
        <v>247</v>
      </c>
      <c r="F71" s="79">
        <v>2016</v>
      </c>
      <c r="G71" s="38">
        <f aca="true" t="shared" si="34" ref="G71:H73">I71+K71+M71+O71</f>
        <v>30</v>
      </c>
      <c r="H71" s="38">
        <f t="shared" si="34"/>
        <v>30</v>
      </c>
      <c r="I71" s="47">
        <v>30</v>
      </c>
      <c r="J71" s="47">
        <v>30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8" t="s">
        <v>235</v>
      </c>
      <c r="R71" s="68"/>
    </row>
    <row r="72" spans="1:18" ht="48" customHeight="1">
      <c r="A72" s="82"/>
      <c r="B72" s="83"/>
      <c r="C72" s="83"/>
      <c r="D72" s="79" t="s">
        <v>2</v>
      </c>
      <c r="E72" s="79"/>
      <c r="F72" s="79">
        <v>2018</v>
      </c>
      <c r="G72" s="38">
        <f t="shared" si="34"/>
        <v>150</v>
      </c>
      <c r="H72" s="38">
        <f t="shared" si="34"/>
        <v>0</v>
      </c>
      <c r="I72" s="47">
        <v>150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8"/>
      <c r="R72" s="68"/>
    </row>
    <row r="73" spans="1:18" ht="54" customHeight="1">
      <c r="A73" s="90" t="s">
        <v>151</v>
      </c>
      <c r="B73" s="91" t="s">
        <v>221</v>
      </c>
      <c r="C73" s="91"/>
      <c r="D73" s="79" t="s">
        <v>3</v>
      </c>
      <c r="E73" s="79"/>
      <c r="F73" s="79">
        <v>2018</v>
      </c>
      <c r="G73" s="38">
        <f t="shared" si="34"/>
        <v>7396.8</v>
      </c>
      <c r="H73" s="38">
        <f t="shared" si="34"/>
        <v>0</v>
      </c>
      <c r="I73" s="47">
        <v>7396.8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8"/>
      <c r="R73" s="68"/>
    </row>
    <row r="74" spans="1:18" ht="77.25" customHeight="1">
      <c r="A74" s="90" t="s">
        <v>152</v>
      </c>
      <c r="B74" s="79" t="s">
        <v>239</v>
      </c>
      <c r="C74" s="79"/>
      <c r="D74" s="79" t="s">
        <v>2</v>
      </c>
      <c r="E74" s="79" t="s">
        <v>247</v>
      </c>
      <c r="F74" s="79">
        <v>2016</v>
      </c>
      <c r="G74" s="38">
        <f t="shared" si="33"/>
        <v>49.4</v>
      </c>
      <c r="H74" s="38">
        <f t="shared" si="33"/>
        <v>49.4</v>
      </c>
      <c r="I74" s="47">
        <v>49.4</v>
      </c>
      <c r="J74" s="47">
        <v>49.4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8"/>
      <c r="R74" s="68"/>
    </row>
    <row r="75" spans="1:18" ht="37.5" customHeight="1">
      <c r="A75" s="77" t="s">
        <v>153</v>
      </c>
      <c r="B75" s="78" t="s">
        <v>191</v>
      </c>
      <c r="C75" s="78">
        <v>11.3</v>
      </c>
      <c r="D75" s="79" t="s">
        <v>2</v>
      </c>
      <c r="E75" s="79"/>
      <c r="F75" s="79">
        <v>2018</v>
      </c>
      <c r="G75" s="38">
        <f>I75+K75+M75+O75</f>
        <v>15000</v>
      </c>
      <c r="H75" s="38">
        <f aca="true" t="shared" si="35" ref="H75:H107">J75+L75+N75+P75</f>
        <v>0</v>
      </c>
      <c r="I75" s="47">
        <v>0</v>
      </c>
      <c r="J75" s="47">
        <v>0</v>
      </c>
      <c r="K75" s="47">
        <v>0</v>
      </c>
      <c r="L75" s="47">
        <v>0</v>
      </c>
      <c r="M75" s="47">
        <v>15000</v>
      </c>
      <c r="N75" s="47">
        <v>0</v>
      </c>
      <c r="O75" s="47">
        <v>0</v>
      </c>
      <c r="P75" s="47">
        <v>0</v>
      </c>
      <c r="Q75" s="48" t="s">
        <v>190</v>
      </c>
      <c r="R75" s="68"/>
    </row>
    <row r="76" spans="1:18" ht="43.5" customHeight="1">
      <c r="A76" s="80"/>
      <c r="B76" s="81"/>
      <c r="C76" s="81"/>
      <c r="D76" s="79" t="s">
        <v>3</v>
      </c>
      <c r="E76" s="79"/>
      <c r="F76" s="79">
        <v>2018</v>
      </c>
      <c r="G76" s="38">
        <f>I76+K76+M76+O76</f>
        <v>426972.2</v>
      </c>
      <c r="H76" s="38">
        <f t="shared" si="35"/>
        <v>0</v>
      </c>
      <c r="I76" s="47">
        <v>0</v>
      </c>
      <c r="J76" s="47">
        <v>0</v>
      </c>
      <c r="K76" s="47">
        <v>0</v>
      </c>
      <c r="L76" s="47">
        <v>0</v>
      </c>
      <c r="M76" s="47">
        <v>426972.2</v>
      </c>
      <c r="N76" s="47">
        <v>0</v>
      </c>
      <c r="O76" s="47">
        <v>0</v>
      </c>
      <c r="P76" s="47">
        <v>0</v>
      </c>
      <c r="Q76" s="49"/>
      <c r="R76" s="68"/>
    </row>
    <row r="77" spans="1:18" ht="43.5" customHeight="1">
      <c r="A77" s="80"/>
      <c r="B77" s="81"/>
      <c r="C77" s="81"/>
      <c r="D77" s="79" t="s">
        <v>3</v>
      </c>
      <c r="E77" s="79"/>
      <c r="F77" s="79">
        <v>2019</v>
      </c>
      <c r="G77" s="38">
        <f>I77+K77+M77+O77</f>
        <v>426972.2</v>
      </c>
      <c r="H77" s="38">
        <f t="shared" si="35"/>
        <v>0</v>
      </c>
      <c r="I77" s="47">
        <v>0</v>
      </c>
      <c r="J77" s="47">
        <v>0</v>
      </c>
      <c r="K77" s="47">
        <v>0</v>
      </c>
      <c r="L77" s="47">
        <v>0</v>
      </c>
      <c r="M77" s="47">
        <v>426972.2</v>
      </c>
      <c r="N77" s="47">
        <v>0</v>
      </c>
      <c r="O77" s="47">
        <v>0</v>
      </c>
      <c r="P77" s="47">
        <v>0</v>
      </c>
      <c r="Q77" s="49"/>
      <c r="R77" s="68"/>
    </row>
    <row r="78" spans="1:18" ht="43.5" customHeight="1">
      <c r="A78" s="82"/>
      <c r="B78" s="83"/>
      <c r="C78" s="83"/>
      <c r="D78" s="79" t="s">
        <v>3</v>
      </c>
      <c r="E78" s="79"/>
      <c r="F78" s="79">
        <v>2020</v>
      </c>
      <c r="G78" s="38">
        <f aca="true" t="shared" si="36" ref="G78:H81">I78+K78+M78+O78</f>
        <v>426972.2</v>
      </c>
      <c r="H78" s="38">
        <f t="shared" si="36"/>
        <v>0</v>
      </c>
      <c r="I78" s="47">
        <v>0</v>
      </c>
      <c r="J78" s="47">
        <v>0</v>
      </c>
      <c r="K78" s="47">
        <v>0</v>
      </c>
      <c r="L78" s="47">
        <v>0</v>
      </c>
      <c r="M78" s="47">
        <v>426972.2</v>
      </c>
      <c r="N78" s="47">
        <v>0</v>
      </c>
      <c r="O78" s="47">
        <v>0</v>
      </c>
      <c r="P78" s="47">
        <v>0</v>
      </c>
      <c r="Q78" s="48"/>
      <c r="R78" s="68"/>
    </row>
    <row r="79" spans="1:18" ht="38.25" customHeight="1">
      <c r="A79" s="92" t="s">
        <v>197</v>
      </c>
      <c r="B79" s="78" t="s">
        <v>172</v>
      </c>
      <c r="C79" s="93">
        <v>2.052</v>
      </c>
      <c r="D79" s="79" t="s">
        <v>3</v>
      </c>
      <c r="E79" s="79" t="s">
        <v>404</v>
      </c>
      <c r="F79" s="79">
        <v>2017</v>
      </c>
      <c r="G79" s="38">
        <f t="shared" si="36"/>
        <v>100000</v>
      </c>
      <c r="H79" s="38">
        <f t="shared" si="36"/>
        <v>100000</v>
      </c>
      <c r="I79" s="47">
        <v>0</v>
      </c>
      <c r="J79" s="47">
        <v>0</v>
      </c>
      <c r="K79" s="47">
        <v>100000</v>
      </c>
      <c r="L79" s="47">
        <v>100000</v>
      </c>
      <c r="M79" s="47">
        <v>0</v>
      </c>
      <c r="N79" s="47">
        <v>0</v>
      </c>
      <c r="O79" s="47">
        <v>0</v>
      </c>
      <c r="P79" s="47">
        <v>0</v>
      </c>
      <c r="Q79" s="49" t="s">
        <v>391</v>
      </c>
      <c r="R79" s="68"/>
    </row>
    <row r="80" spans="1:18" ht="41.25" customHeight="1">
      <c r="A80" s="92"/>
      <c r="B80" s="81"/>
      <c r="C80" s="93"/>
      <c r="D80" s="79" t="s">
        <v>3</v>
      </c>
      <c r="E80" s="79"/>
      <c r="F80" s="79">
        <v>2018</v>
      </c>
      <c r="G80" s="38">
        <f t="shared" si="36"/>
        <v>1796553.5</v>
      </c>
      <c r="H80" s="38">
        <f t="shared" si="36"/>
        <v>0</v>
      </c>
      <c r="I80" s="47">
        <v>0</v>
      </c>
      <c r="J80" s="47">
        <v>0</v>
      </c>
      <c r="K80" s="47">
        <v>1796553.5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9"/>
      <c r="R80" s="68"/>
    </row>
    <row r="81" spans="1:18" ht="58.5" customHeight="1">
      <c r="A81" s="88" t="s">
        <v>198</v>
      </c>
      <c r="B81" s="79" t="s">
        <v>186</v>
      </c>
      <c r="C81" s="79">
        <v>15.9</v>
      </c>
      <c r="D81" s="79" t="s">
        <v>2</v>
      </c>
      <c r="E81" s="79"/>
      <c r="F81" s="79">
        <v>2018</v>
      </c>
      <c r="G81" s="38">
        <f t="shared" si="36"/>
        <v>105000</v>
      </c>
      <c r="H81" s="38">
        <f t="shared" si="36"/>
        <v>0</v>
      </c>
      <c r="I81" s="47">
        <v>105000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8"/>
      <c r="R81" s="68"/>
    </row>
    <row r="82" spans="1:18" ht="58.5" customHeight="1">
      <c r="A82" s="88" t="s">
        <v>100</v>
      </c>
      <c r="B82" s="79" t="s">
        <v>124</v>
      </c>
      <c r="C82" s="79">
        <v>0.4</v>
      </c>
      <c r="D82" s="79" t="s">
        <v>2</v>
      </c>
      <c r="E82" s="79"/>
      <c r="F82" s="79">
        <v>2018</v>
      </c>
      <c r="G82" s="38">
        <f>I82+K82+M82+O82</f>
        <v>4000</v>
      </c>
      <c r="H82" s="38">
        <f t="shared" si="35"/>
        <v>0</v>
      </c>
      <c r="I82" s="47">
        <v>4000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8"/>
      <c r="R82" s="68"/>
    </row>
    <row r="83" spans="1:18" ht="70.5" customHeight="1">
      <c r="A83" s="88" t="s">
        <v>101</v>
      </c>
      <c r="B83" s="79" t="s">
        <v>125</v>
      </c>
      <c r="C83" s="79">
        <v>1.5</v>
      </c>
      <c r="D83" s="79" t="s">
        <v>2</v>
      </c>
      <c r="E83" s="79"/>
      <c r="F83" s="79">
        <v>2018</v>
      </c>
      <c r="G83" s="38">
        <f>I83+K83+M83+O83</f>
        <v>1000</v>
      </c>
      <c r="H83" s="38">
        <f t="shared" si="35"/>
        <v>0</v>
      </c>
      <c r="I83" s="47">
        <v>1000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8"/>
      <c r="R83" s="68"/>
    </row>
    <row r="84" spans="1:18" ht="70.5" customHeight="1">
      <c r="A84" s="88" t="s">
        <v>102</v>
      </c>
      <c r="B84" s="79" t="s">
        <v>126</v>
      </c>
      <c r="C84" s="79">
        <v>0.25</v>
      </c>
      <c r="D84" s="79" t="s">
        <v>2</v>
      </c>
      <c r="E84" s="79"/>
      <c r="F84" s="79">
        <v>2018</v>
      </c>
      <c r="G84" s="38">
        <f>I84+K84+M84+O84</f>
        <v>368.7</v>
      </c>
      <c r="H84" s="38">
        <f t="shared" si="35"/>
        <v>0</v>
      </c>
      <c r="I84" s="47">
        <v>368.7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8"/>
      <c r="R84" s="68"/>
    </row>
    <row r="85" spans="1:18" ht="60" customHeight="1">
      <c r="A85" s="88" t="s">
        <v>103</v>
      </c>
      <c r="B85" s="85" t="s">
        <v>53</v>
      </c>
      <c r="C85" s="85">
        <v>0.322</v>
      </c>
      <c r="D85" s="85" t="s">
        <v>2</v>
      </c>
      <c r="E85" s="85"/>
      <c r="F85" s="79">
        <v>2018</v>
      </c>
      <c r="G85" s="38">
        <f aca="true" t="shared" si="37" ref="G85:G93">I85+K85+M85+O85</f>
        <v>2200</v>
      </c>
      <c r="H85" s="38">
        <f t="shared" si="35"/>
        <v>0</v>
      </c>
      <c r="I85" s="47">
        <v>2200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8" t="s">
        <v>27</v>
      </c>
      <c r="R85" s="68"/>
    </row>
    <row r="86" spans="1:18" ht="58.5" customHeight="1">
      <c r="A86" s="88" t="s">
        <v>215</v>
      </c>
      <c r="B86" s="79" t="s">
        <v>37</v>
      </c>
      <c r="C86" s="79">
        <v>3</v>
      </c>
      <c r="D86" s="79" t="s">
        <v>2</v>
      </c>
      <c r="E86" s="79"/>
      <c r="F86" s="79">
        <v>2018</v>
      </c>
      <c r="G86" s="38">
        <f t="shared" si="37"/>
        <v>7000</v>
      </c>
      <c r="H86" s="38">
        <f t="shared" si="35"/>
        <v>0</v>
      </c>
      <c r="I86" s="47">
        <v>7000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8" t="s">
        <v>27</v>
      </c>
      <c r="R86" s="68"/>
    </row>
    <row r="87" spans="1:18" ht="60" customHeight="1">
      <c r="A87" s="88" t="s">
        <v>216</v>
      </c>
      <c r="B87" s="79" t="s">
        <v>31</v>
      </c>
      <c r="C87" s="79">
        <v>2</v>
      </c>
      <c r="D87" s="79" t="s">
        <v>2</v>
      </c>
      <c r="E87" s="79"/>
      <c r="F87" s="79">
        <v>2018</v>
      </c>
      <c r="G87" s="38">
        <f t="shared" si="37"/>
        <v>60000</v>
      </c>
      <c r="H87" s="38">
        <f t="shared" si="35"/>
        <v>0</v>
      </c>
      <c r="I87" s="47">
        <v>60000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8" t="s">
        <v>27</v>
      </c>
      <c r="R87" s="68"/>
    </row>
    <row r="88" spans="1:18" ht="60" customHeight="1">
      <c r="A88" s="88" t="s">
        <v>217</v>
      </c>
      <c r="B88" s="79" t="s">
        <v>178</v>
      </c>
      <c r="C88" s="79">
        <v>0.047</v>
      </c>
      <c r="D88" s="79" t="s">
        <v>2</v>
      </c>
      <c r="E88" s="79"/>
      <c r="F88" s="79">
        <v>2018</v>
      </c>
      <c r="G88" s="38">
        <f t="shared" si="37"/>
        <v>10000</v>
      </c>
      <c r="H88" s="38">
        <f t="shared" si="35"/>
        <v>0</v>
      </c>
      <c r="I88" s="47">
        <v>10000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8" t="s">
        <v>27</v>
      </c>
      <c r="R88" s="68"/>
    </row>
    <row r="89" spans="1:18" ht="60" customHeight="1">
      <c r="A89" s="88" t="s">
        <v>218</v>
      </c>
      <c r="B89" s="79" t="s">
        <v>182</v>
      </c>
      <c r="C89" s="79">
        <v>6</v>
      </c>
      <c r="D89" s="79" t="s">
        <v>2</v>
      </c>
      <c r="E89" s="79"/>
      <c r="F89" s="79">
        <v>2018</v>
      </c>
      <c r="G89" s="38">
        <f>I89+K89+M89+O89</f>
        <v>5552.8</v>
      </c>
      <c r="H89" s="38">
        <f>J89+L89+N89+P89</f>
        <v>0</v>
      </c>
      <c r="I89" s="47">
        <v>5552.8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8" t="s">
        <v>27</v>
      </c>
      <c r="R89" s="68"/>
    </row>
    <row r="90" spans="1:18" ht="87.75" customHeight="1">
      <c r="A90" s="88" t="s">
        <v>219</v>
      </c>
      <c r="B90" s="79" t="s">
        <v>209</v>
      </c>
      <c r="C90" s="79"/>
      <c r="D90" s="79" t="s">
        <v>2</v>
      </c>
      <c r="E90" s="79"/>
      <c r="F90" s="79">
        <v>2018</v>
      </c>
      <c r="G90" s="38">
        <f>I90+K90+M90+O90</f>
        <v>23500</v>
      </c>
      <c r="H90" s="38">
        <f>J90+L90+N90+P90</f>
        <v>0</v>
      </c>
      <c r="I90" s="47">
        <v>23500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8" t="s">
        <v>27</v>
      </c>
      <c r="R90" s="68"/>
    </row>
    <row r="91" spans="1:18" ht="46.5" customHeight="1">
      <c r="A91" s="92" t="s">
        <v>220</v>
      </c>
      <c r="B91" s="93" t="s">
        <v>28</v>
      </c>
      <c r="C91" s="93">
        <v>3</v>
      </c>
      <c r="D91" s="79" t="s">
        <v>2</v>
      </c>
      <c r="E91" s="79"/>
      <c r="F91" s="79">
        <v>2018</v>
      </c>
      <c r="G91" s="38">
        <f t="shared" si="37"/>
        <v>30000</v>
      </c>
      <c r="H91" s="38">
        <f t="shared" si="35"/>
        <v>0</v>
      </c>
      <c r="I91" s="47">
        <v>30000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50" t="s">
        <v>27</v>
      </c>
      <c r="R91" s="68"/>
    </row>
    <row r="92" spans="1:18" ht="27.75" customHeight="1">
      <c r="A92" s="92"/>
      <c r="B92" s="93"/>
      <c r="C92" s="93"/>
      <c r="D92" s="79" t="s">
        <v>2</v>
      </c>
      <c r="E92" s="79"/>
      <c r="F92" s="79">
        <v>2019</v>
      </c>
      <c r="G92" s="38">
        <f t="shared" si="37"/>
        <v>30000</v>
      </c>
      <c r="H92" s="38">
        <f t="shared" si="35"/>
        <v>0</v>
      </c>
      <c r="I92" s="47">
        <v>30000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53"/>
      <c r="R92" s="68"/>
    </row>
    <row r="93" spans="1:18" ht="34.5" customHeight="1">
      <c r="A93" s="92"/>
      <c r="B93" s="93"/>
      <c r="C93" s="93"/>
      <c r="D93" s="79" t="s">
        <v>2</v>
      </c>
      <c r="E93" s="79"/>
      <c r="F93" s="79">
        <v>2020</v>
      </c>
      <c r="G93" s="38">
        <f t="shared" si="37"/>
        <v>30000</v>
      </c>
      <c r="H93" s="38">
        <f t="shared" si="35"/>
        <v>0</v>
      </c>
      <c r="I93" s="47">
        <v>30000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51"/>
      <c r="R93" s="68"/>
    </row>
    <row r="94" spans="1:18" ht="57.75" customHeight="1">
      <c r="A94" s="88" t="s">
        <v>230</v>
      </c>
      <c r="B94" s="79" t="s">
        <v>127</v>
      </c>
      <c r="C94" s="79">
        <v>0.7</v>
      </c>
      <c r="D94" s="79" t="s">
        <v>2</v>
      </c>
      <c r="E94" s="79"/>
      <c r="F94" s="79">
        <v>2019</v>
      </c>
      <c r="G94" s="38">
        <f aca="true" t="shared" si="38" ref="G94:G107">I94+K94+M94+O94</f>
        <v>12368.7</v>
      </c>
      <c r="H94" s="38">
        <f t="shared" si="35"/>
        <v>0</v>
      </c>
      <c r="I94" s="47">
        <v>12368.7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8" t="s">
        <v>27</v>
      </c>
      <c r="R94" s="68"/>
    </row>
    <row r="95" spans="1:18" ht="65.25" customHeight="1">
      <c r="A95" s="88" t="s">
        <v>231</v>
      </c>
      <c r="B95" s="79" t="s">
        <v>38</v>
      </c>
      <c r="C95" s="79">
        <v>1.5</v>
      </c>
      <c r="D95" s="79" t="s">
        <v>2</v>
      </c>
      <c r="E95" s="79"/>
      <c r="F95" s="79">
        <v>2019</v>
      </c>
      <c r="G95" s="38">
        <f t="shared" si="38"/>
        <v>7000</v>
      </c>
      <c r="H95" s="38">
        <f t="shared" si="35"/>
        <v>0</v>
      </c>
      <c r="I95" s="47">
        <v>7000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8" t="s">
        <v>27</v>
      </c>
      <c r="R95" s="68"/>
    </row>
    <row r="96" spans="1:18" ht="51" customHeight="1">
      <c r="A96" s="88" t="s">
        <v>232</v>
      </c>
      <c r="B96" s="79" t="s">
        <v>39</v>
      </c>
      <c r="C96" s="79">
        <v>2.8</v>
      </c>
      <c r="D96" s="79" t="s">
        <v>2</v>
      </c>
      <c r="E96" s="79"/>
      <c r="F96" s="79">
        <v>2019</v>
      </c>
      <c r="G96" s="38">
        <f t="shared" si="38"/>
        <v>10000</v>
      </c>
      <c r="H96" s="38">
        <f t="shared" si="35"/>
        <v>0</v>
      </c>
      <c r="I96" s="47">
        <v>10000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8" t="s">
        <v>27</v>
      </c>
      <c r="R96" s="68"/>
    </row>
    <row r="97" spans="1:18" ht="46.5" customHeight="1">
      <c r="A97" s="88" t="s">
        <v>240</v>
      </c>
      <c r="B97" s="79" t="s">
        <v>185</v>
      </c>
      <c r="C97" s="79">
        <v>4</v>
      </c>
      <c r="D97" s="79" t="s">
        <v>2</v>
      </c>
      <c r="E97" s="79"/>
      <c r="F97" s="79">
        <v>2019</v>
      </c>
      <c r="G97" s="38">
        <f t="shared" si="38"/>
        <v>3500</v>
      </c>
      <c r="H97" s="38">
        <f t="shared" si="35"/>
        <v>0</v>
      </c>
      <c r="I97" s="47">
        <v>3500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8" t="s">
        <v>27</v>
      </c>
      <c r="R97" s="68"/>
    </row>
    <row r="98" spans="1:18" ht="45.75" customHeight="1">
      <c r="A98" s="88" t="s">
        <v>393</v>
      </c>
      <c r="B98" s="79" t="s">
        <v>40</v>
      </c>
      <c r="C98" s="79">
        <v>3.6</v>
      </c>
      <c r="D98" s="79" t="s">
        <v>2</v>
      </c>
      <c r="E98" s="79"/>
      <c r="F98" s="79">
        <v>2020</v>
      </c>
      <c r="G98" s="38">
        <f t="shared" si="38"/>
        <v>3331.7</v>
      </c>
      <c r="H98" s="38">
        <f t="shared" si="35"/>
        <v>0</v>
      </c>
      <c r="I98" s="47">
        <v>3331.7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8" t="s">
        <v>27</v>
      </c>
      <c r="R98" s="68"/>
    </row>
    <row r="99" spans="1:18" ht="43.5" customHeight="1">
      <c r="A99" s="88" t="s">
        <v>398</v>
      </c>
      <c r="B99" s="79" t="s">
        <v>241</v>
      </c>
      <c r="C99" s="79">
        <v>4.7</v>
      </c>
      <c r="D99" s="79" t="s">
        <v>2</v>
      </c>
      <c r="E99" s="79"/>
      <c r="F99" s="79">
        <v>2020</v>
      </c>
      <c r="G99" s="47">
        <f t="shared" si="38"/>
        <v>6580</v>
      </c>
      <c r="H99" s="47">
        <f t="shared" si="35"/>
        <v>0</v>
      </c>
      <c r="I99" s="47">
        <v>6580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8" t="s">
        <v>34</v>
      </c>
      <c r="R99" s="68"/>
    </row>
    <row r="100" spans="1:18" ht="29.25" customHeight="1">
      <c r="A100" s="77" t="s">
        <v>375</v>
      </c>
      <c r="B100" s="94" t="s">
        <v>377</v>
      </c>
      <c r="C100" s="95"/>
      <c r="D100" s="96"/>
      <c r="E100" s="97"/>
      <c r="F100" s="67" t="s">
        <v>98</v>
      </c>
      <c r="G100" s="40">
        <f t="shared" si="38"/>
        <v>10000</v>
      </c>
      <c r="H100" s="40">
        <f t="shared" si="35"/>
        <v>10000</v>
      </c>
      <c r="I100" s="40">
        <f aca="true" t="shared" si="39" ref="I100:P100">I101+I102+I103+I104+I105+I106</f>
        <v>10000</v>
      </c>
      <c r="J100" s="40">
        <f t="shared" si="39"/>
        <v>10000</v>
      </c>
      <c r="K100" s="40">
        <f t="shared" si="39"/>
        <v>0</v>
      </c>
      <c r="L100" s="40">
        <f t="shared" si="39"/>
        <v>0</v>
      </c>
      <c r="M100" s="40">
        <f t="shared" si="39"/>
        <v>0</v>
      </c>
      <c r="N100" s="40">
        <f t="shared" si="39"/>
        <v>0</v>
      </c>
      <c r="O100" s="40">
        <f t="shared" si="39"/>
        <v>0</v>
      </c>
      <c r="P100" s="40">
        <f t="shared" si="39"/>
        <v>0</v>
      </c>
      <c r="Q100" s="39"/>
      <c r="R100" s="68"/>
    </row>
    <row r="101" spans="1:18" ht="22.5" customHeight="1">
      <c r="A101" s="80"/>
      <c r="B101" s="98"/>
      <c r="C101" s="99"/>
      <c r="D101" s="100"/>
      <c r="E101" s="101"/>
      <c r="F101" s="72">
        <v>2015</v>
      </c>
      <c r="G101" s="38">
        <f t="shared" si="38"/>
        <v>0</v>
      </c>
      <c r="H101" s="38">
        <f t="shared" si="35"/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f>O108+O115</f>
        <v>0</v>
      </c>
      <c r="P101" s="38">
        <f>P108+P115</f>
        <v>0</v>
      </c>
      <c r="Q101" s="39"/>
      <c r="R101" s="68"/>
    </row>
    <row r="102" spans="1:18" ht="20.25" customHeight="1">
      <c r="A102" s="80"/>
      <c r="B102" s="98"/>
      <c r="C102" s="99"/>
      <c r="D102" s="100"/>
      <c r="E102" s="101"/>
      <c r="F102" s="72">
        <v>2016</v>
      </c>
      <c r="G102" s="38">
        <f t="shared" si="38"/>
        <v>0</v>
      </c>
      <c r="H102" s="38">
        <f t="shared" si="35"/>
        <v>0</v>
      </c>
      <c r="I102" s="38">
        <v>0</v>
      </c>
      <c r="J102" s="38">
        <v>0</v>
      </c>
      <c r="K102" s="38">
        <f>K109+K116</f>
        <v>0</v>
      </c>
      <c r="L102" s="38">
        <f>L109+L116</f>
        <v>0</v>
      </c>
      <c r="M102" s="38">
        <v>0</v>
      </c>
      <c r="N102" s="38">
        <v>0</v>
      </c>
      <c r="O102" s="38">
        <f>O109+O116</f>
        <v>0</v>
      </c>
      <c r="P102" s="38">
        <f>P109+P116</f>
        <v>0</v>
      </c>
      <c r="Q102" s="39"/>
      <c r="R102" s="68"/>
    </row>
    <row r="103" spans="1:18" ht="21.75" customHeight="1">
      <c r="A103" s="80"/>
      <c r="B103" s="98"/>
      <c r="C103" s="99"/>
      <c r="D103" s="100"/>
      <c r="E103" s="101"/>
      <c r="F103" s="72">
        <v>2017</v>
      </c>
      <c r="G103" s="38">
        <f t="shared" si="38"/>
        <v>10000</v>
      </c>
      <c r="H103" s="38">
        <f t="shared" si="35"/>
        <v>10000</v>
      </c>
      <c r="I103" s="38">
        <f aca="true" t="shared" si="40" ref="I103:P103">I107</f>
        <v>10000</v>
      </c>
      <c r="J103" s="38">
        <f t="shared" si="40"/>
        <v>10000</v>
      </c>
      <c r="K103" s="38">
        <f t="shared" si="40"/>
        <v>0</v>
      </c>
      <c r="L103" s="38">
        <f t="shared" si="40"/>
        <v>0</v>
      </c>
      <c r="M103" s="38">
        <f t="shared" si="40"/>
        <v>0</v>
      </c>
      <c r="N103" s="38">
        <f t="shared" si="40"/>
        <v>0</v>
      </c>
      <c r="O103" s="38">
        <f t="shared" si="40"/>
        <v>0</v>
      </c>
      <c r="P103" s="38">
        <f t="shared" si="40"/>
        <v>0</v>
      </c>
      <c r="Q103" s="39"/>
      <c r="R103" s="68"/>
    </row>
    <row r="104" spans="1:18" ht="24" customHeight="1">
      <c r="A104" s="80"/>
      <c r="B104" s="98"/>
      <c r="C104" s="99"/>
      <c r="D104" s="100"/>
      <c r="E104" s="101"/>
      <c r="F104" s="72">
        <v>2018</v>
      </c>
      <c r="G104" s="38">
        <f t="shared" si="38"/>
        <v>0</v>
      </c>
      <c r="H104" s="38">
        <f t="shared" si="35"/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f aca="true" t="shared" si="41" ref="N104:P105">O111+O118</f>
        <v>0</v>
      </c>
      <c r="P104" s="38">
        <f t="shared" si="41"/>
        <v>0</v>
      </c>
      <c r="Q104" s="39"/>
      <c r="R104" s="68"/>
    </row>
    <row r="105" spans="1:18" ht="18" customHeight="1">
      <c r="A105" s="80"/>
      <c r="B105" s="98"/>
      <c r="C105" s="99"/>
      <c r="D105" s="100"/>
      <c r="E105" s="101"/>
      <c r="F105" s="72">
        <v>2019</v>
      </c>
      <c r="G105" s="38">
        <f t="shared" si="38"/>
        <v>0</v>
      </c>
      <c r="H105" s="38">
        <f t="shared" si="35"/>
        <v>0</v>
      </c>
      <c r="I105" s="38">
        <v>0</v>
      </c>
      <c r="J105" s="38">
        <f>J112+J119</f>
        <v>0</v>
      </c>
      <c r="K105" s="38">
        <v>0</v>
      </c>
      <c r="L105" s="38">
        <f>L112+L119</f>
        <v>0</v>
      </c>
      <c r="M105" s="38">
        <v>0</v>
      </c>
      <c r="N105" s="38">
        <f t="shared" si="41"/>
        <v>0</v>
      </c>
      <c r="O105" s="38">
        <f t="shared" si="41"/>
        <v>0</v>
      </c>
      <c r="P105" s="38">
        <f t="shared" si="41"/>
        <v>0</v>
      </c>
      <c r="Q105" s="39"/>
      <c r="R105" s="68"/>
    </row>
    <row r="106" spans="1:18" ht="21.75" customHeight="1">
      <c r="A106" s="82"/>
      <c r="B106" s="102"/>
      <c r="C106" s="103"/>
      <c r="D106" s="104"/>
      <c r="E106" s="105"/>
      <c r="F106" s="72">
        <v>2020</v>
      </c>
      <c r="G106" s="38">
        <f>I106+K106+M106+O106</f>
        <v>0</v>
      </c>
      <c r="H106" s="38">
        <f t="shared" si="35"/>
        <v>0</v>
      </c>
      <c r="I106" s="38">
        <v>0</v>
      </c>
      <c r="J106" s="38">
        <f aca="true" t="shared" si="42" ref="J106:P106">J113+J120</f>
        <v>0</v>
      </c>
      <c r="K106" s="38">
        <v>0</v>
      </c>
      <c r="L106" s="38">
        <f t="shared" si="42"/>
        <v>0</v>
      </c>
      <c r="M106" s="38">
        <v>0</v>
      </c>
      <c r="N106" s="38">
        <f t="shared" si="42"/>
        <v>0</v>
      </c>
      <c r="O106" s="38">
        <f t="shared" si="42"/>
        <v>0</v>
      </c>
      <c r="P106" s="38">
        <f t="shared" si="42"/>
        <v>0</v>
      </c>
      <c r="Q106" s="39"/>
      <c r="R106" s="68"/>
    </row>
    <row r="107" spans="1:18" ht="60" customHeight="1">
      <c r="A107" s="88" t="s">
        <v>376</v>
      </c>
      <c r="B107" s="39" t="s">
        <v>378</v>
      </c>
      <c r="C107" s="79"/>
      <c r="D107" s="79" t="s">
        <v>3</v>
      </c>
      <c r="E107" s="79" t="s">
        <v>379</v>
      </c>
      <c r="F107" s="79">
        <v>2017</v>
      </c>
      <c r="G107" s="47">
        <f t="shared" si="38"/>
        <v>10000</v>
      </c>
      <c r="H107" s="47">
        <f t="shared" si="35"/>
        <v>10000</v>
      </c>
      <c r="I107" s="47">
        <v>10000</v>
      </c>
      <c r="J107" s="47">
        <v>10000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8"/>
      <c r="R107" s="68"/>
    </row>
    <row r="108" spans="1:256" s="7" customFormat="1" ht="18.75" customHeight="1">
      <c r="A108" s="73"/>
      <c r="B108" s="74" t="s">
        <v>112</v>
      </c>
      <c r="C108" s="74"/>
      <c r="D108" s="74"/>
      <c r="E108" s="44"/>
      <c r="F108" s="67" t="s">
        <v>98</v>
      </c>
      <c r="G108" s="40">
        <f aca="true" t="shared" si="43" ref="G108:P108">G115+G122+G129</f>
        <v>4036693</v>
      </c>
      <c r="H108" s="40">
        <f t="shared" si="43"/>
        <v>331851.7</v>
      </c>
      <c r="I108" s="40">
        <f t="shared" si="43"/>
        <v>650065.9</v>
      </c>
      <c r="J108" s="40">
        <f t="shared" si="43"/>
        <v>201851.69999999998</v>
      </c>
      <c r="K108" s="40">
        <f t="shared" si="43"/>
        <v>1896553.5</v>
      </c>
      <c r="L108" s="40">
        <f t="shared" si="43"/>
        <v>100000</v>
      </c>
      <c r="M108" s="40">
        <f t="shared" si="43"/>
        <v>1490073.5999999999</v>
      </c>
      <c r="N108" s="40">
        <f t="shared" si="43"/>
        <v>30000</v>
      </c>
      <c r="O108" s="40">
        <f t="shared" si="43"/>
        <v>0</v>
      </c>
      <c r="P108" s="40">
        <f t="shared" si="43"/>
        <v>0</v>
      </c>
      <c r="Q108" s="39"/>
      <c r="R108" s="68"/>
      <c r="S108" s="33"/>
      <c r="T108" s="33"/>
      <c r="U108" s="33"/>
      <c r="V108" s="8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10"/>
      <c r="AH108" s="33"/>
      <c r="AI108" s="33"/>
      <c r="AJ108" s="33"/>
      <c r="AK108" s="33"/>
      <c r="AL108" s="8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10"/>
      <c r="AX108" s="33"/>
      <c r="AY108" s="33"/>
      <c r="AZ108" s="33"/>
      <c r="BA108" s="33"/>
      <c r="BB108" s="8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10"/>
      <c r="BN108" s="33"/>
      <c r="BO108" s="33"/>
      <c r="BP108" s="33"/>
      <c r="BQ108" s="33"/>
      <c r="BR108" s="8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10"/>
      <c r="CD108" s="33"/>
      <c r="CE108" s="33"/>
      <c r="CF108" s="33"/>
      <c r="CG108" s="33"/>
      <c r="CH108" s="8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10"/>
      <c r="CT108" s="33"/>
      <c r="CU108" s="33"/>
      <c r="CV108" s="33"/>
      <c r="CW108" s="33"/>
      <c r="CX108" s="8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10"/>
      <c r="DJ108" s="33"/>
      <c r="DK108" s="33"/>
      <c r="DL108" s="33"/>
      <c r="DM108" s="33"/>
      <c r="DN108" s="8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10"/>
      <c r="DZ108" s="33"/>
      <c r="EA108" s="33"/>
      <c r="EB108" s="33"/>
      <c r="EC108" s="33"/>
      <c r="ED108" s="8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10"/>
      <c r="EP108" s="33"/>
      <c r="EQ108" s="33"/>
      <c r="ER108" s="33"/>
      <c r="ES108" s="33"/>
      <c r="ET108" s="8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10"/>
      <c r="FF108" s="33"/>
      <c r="FG108" s="33"/>
      <c r="FH108" s="33"/>
      <c r="FI108" s="33"/>
      <c r="FJ108" s="8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10"/>
      <c r="FV108" s="33"/>
      <c r="FW108" s="33"/>
      <c r="FX108" s="33"/>
      <c r="FY108" s="33"/>
      <c r="FZ108" s="8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10"/>
      <c r="GL108" s="33"/>
      <c r="GM108" s="33"/>
      <c r="GN108" s="33"/>
      <c r="GO108" s="33"/>
      <c r="GP108" s="8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10"/>
      <c r="HB108" s="33"/>
      <c r="HC108" s="33"/>
      <c r="HD108" s="33"/>
      <c r="HE108" s="33"/>
      <c r="HF108" s="8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10"/>
      <c r="HR108" s="33"/>
      <c r="HS108" s="33"/>
      <c r="HT108" s="33"/>
      <c r="HU108" s="33"/>
      <c r="HV108" s="8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10"/>
      <c r="IH108" s="33"/>
      <c r="II108" s="33"/>
      <c r="IJ108" s="33"/>
      <c r="IK108" s="33"/>
      <c r="IL108" s="8"/>
      <c r="IM108" s="9"/>
      <c r="IN108" s="9"/>
      <c r="IO108" s="9"/>
      <c r="IP108" s="9"/>
      <c r="IQ108" s="9"/>
      <c r="IR108" s="9"/>
      <c r="IS108" s="9"/>
      <c r="IT108" s="9"/>
      <c r="IU108" s="9"/>
      <c r="IV108" s="9"/>
    </row>
    <row r="109" spans="1:256" s="7" customFormat="1" ht="18.75" customHeight="1">
      <c r="A109" s="75"/>
      <c r="B109" s="74"/>
      <c r="C109" s="74"/>
      <c r="D109" s="74"/>
      <c r="E109" s="44"/>
      <c r="F109" s="72">
        <v>2015</v>
      </c>
      <c r="G109" s="38">
        <f aca="true" t="shared" si="44" ref="G109:P109">G116+G123</f>
        <v>59690</v>
      </c>
      <c r="H109" s="38">
        <f t="shared" si="44"/>
        <v>59690</v>
      </c>
      <c r="I109" s="38">
        <f t="shared" si="44"/>
        <v>59690</v>
      </c>
      <c r="J109" s="38">
        <f t="shared" si="44"/>
        <v>59690</v>
      </c>
      <c r="K109" s="38">
        <f t="shared" si="44"/>
        <v>0</v>
      </c>
      <c r="L109" s="38">
        <f t="shared" si="44"/>
        <v>0</v>
      </c>
      <c r="M109" s="38">
        <f t="shared" si="44"/>
        <v>0</v>
      </c>
      <c r="N109" s="38">
        <f t="shared" si="44"/>
        <v>0</v>
      </c>
      <c r="O109" s="38">
        <f t="shared" si="44"/>
        <v>0</v>
      </c>
      <c r="P109" s="38">
        <f t="shared" si="44"/>
        <v>0</v>
      </c>
      <c r="Q109" s="39"/>
      <c r="R109" s="68"/>
      <c r="S109" s="33"/>
      <c r="T109" s="33"/>
      <c r="U109" s="33"/>
      <c r="V109" s="11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0"/>
      <c r="AH109" s="33"/>
      <c r="AI109" s="33"/>
      <c r="AJ109" s="33"/>
      <c r="AK109" s="33"/>
      <c r="AL109" s="11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0"/>
      <c r="AX109" s="33"/>
      <c r="AY109" s="33"/>
      <c r="AZ109" s="33"/>
      <c r="BA109" s="33"/>
      <c r="BB109" s="11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0"/>
      <c r="BN109" s="33"/>
      <c r="BO109" s="33"/>
      <c r="BP109" s="33"/>
      <c r="BQ109" s="33"/>
      <c r="BR109" s="11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0"/>
      <c r="CD109" s="33"/>
      <c r="CE109" s="33"/>
      <c r="CF109" s="33"/>
      <c r="CG109" s="33"/>
      <c r="CH109" s="11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0"/>
      <c r="CT109" s="33"/>
      <c r="CU109" s="33"/>
      <c r="CV109" s="33"/>
      <c r="CW109" s="33"/>
      <c r="CX109" s="11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0"/>
      <c r="DJ109" s="33"/>
      <c r="DK109" s="33"/>
      <c r="DL109" s="33"/>
      <c r="DM109" s="33"/>
      <c r="DN109" s="11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0"/>
      <c r="DZ109" s="33"/>
      <c r="EA109" s="33"/>
      <c r="EB109" s="33"/>
      <c r="EC109" s="33"/>
      <c r="ED109" s="11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0"/>
      <c r="EP109" s="33"/>
      <c r="EQ109" s="33"/>
      <c r="ER109" s="33"/>
      <c r="ES109" s="33"/>
      <c r="ET109" s="11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0"/>
      <c r="FF109" s="33"/>
      <c r="FG109" s="33"/>
      <c r="FH109" s="33"/>
      <c r="FI109" s="33"/>
      <c r="FJ109" s="11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0"/>
      <c r="FV109" s="33"/>
      <c r="FW109" s="33"/>
      <c r="FX109" s="33"/>
      <c r="FY109" s="33"/>
      <c r="FZ109" s="11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0"/>
      <c r="GL109" s="33"/>
      <c r="GM109" s="33"/>
      <c r="GN109" s="33"/>
      <c r="GO109" s="33"/>
      <c r="GP109" s="11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0"/>
      <c r="HB109" s="33"/>
      <c r="HC109" s="33"/>
      <c r="HD109" s="33"/>
      <c r="HE109" s="33"/>
      <c r="HF109" s="11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0"/>
      <c r="HR109" s="33"/>
      <c r="HS109" s="33"/>
      <c r="HT109" s="33"/>
      <c r="HU109" s="33"/>
      <c r="HV109" s="11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0"/>
      <c r="IH109" s="33"/>
      <c r="II109" s="33"/>
      <c r="IJ109" s="33"/>
      <c r="IK109" s="33"/>
      <c r="IL109" s="11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</row>
    <row r="110" spans="1:256" s="7" customFormat="1" ht="18.75" customHeight="1">
      <c r="A110" s="75"/>
      <c r="B110" s="74"/>
      <c r="C110" s="74"/>
      <c r="D110" s="74"/>
      <c r="E110" s="44"/>
      <c r="F110" s="72">
        <v>2016</v>
      </c>
      <c r="G110" s="38">
        <f aca="true" t="shared" si="45" ref="G110:P110">G117+G124</f>
        <v>80360.80000000002</v>
      </c>
      <c r="H110" s="38">
        <f>H117+H124</f>
        <v>80360.80000000002</v>
      </c>
      <c r="I110" s="38">
        <f>I117+I124</f>
        <v>80360.80000000002</v>
      </c>
      <c r="J110" s="38">
        <f t="shared" si="45"/>
        <v>80360.80000000002</v>
      </c>
      <c r="K110" s="38">
        <f t="shared" si="45"/>
        <v>0</v>
      </c>
      <c r="L110" s="38">
        <f t="shared" si="45"/>
        <v>0</v>
      </c>
      <c r="M110" s="38">
        <f t="shared" si="45"/>
        <v>0</v>
      </c>
      <c r="N110" s="38">
        <f t="shared" si="45"/>
        <v>0</v>
      </c>
      <c r="O110" s="38">
        <f t="shared" si="45"/>
        <v>0</v>
      </c>
      <c r="P110" s="38">
        <f t="shared" si="45"/>
        <v>0</v>
      </c>
      <c r="Q110" s="39"/>
      <c r="R110" s="68"/>
      <c r="S110" s="33"/>
      <c r="T110" s="33"/>
      <c r="U110" s="33"/>
      <c r="V110" s="11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0"/>
      <c r="AH110" s="33"/>
      <c r="AI110" s="33"/>
      <c r="AJ110" s="33"/>
      <c r="AK110" s="33"/>
      <c r="AL110" s="11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0"/>
      <c r="AX110" s="33"/>
      <c r="AY110" s="33"/>
      <c r="AZ110" s="33"/>
      <c r="BA110" s="33"/>
      <c r="BB110" s="11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0"/>
      <c r="BN110" s="33"/>
      <c r="BO110" s="33"/>
      <c r="BP110" s="33"/>
      <c r="BQ110" s="33"/>
      <c r="BR110" s="11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0"/>
      <c r="CD110" s="33"/>
      <c r="CE110" s="33"/>
      <c r="CF110" s="33"/>
      <c r="CG110" s="33"/>
      <c r="CH110" s="11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0"/>
      <c r="CT110" s="33"/>
      <c r="CU110" s="33"/>
      <c r="CV110" s="33"/>
      <c r="CW110" s="33"/>
      <c r="CX110" s="11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0"/>
      <c r="DJ110" s="33"/>
      <c r="DK110" s="33"/>
      <c r="DL110" s="33"/>
      <c r="DM110" s="33"/>
      <c r="DN110" s="11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0"/>
      <c r="DZ110" s="33"/>
      <c r="EA110" s="33"/>
      <c r="EB110" s="33"/>
      <c r="EC110" s="33"/>
      <c r="ED110" s="11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0"/>
      <c r="EP110" s="33"/>
      <c r="EQ110" s="33"/>
      <c r="ER110" s="33"/>
      <c r="ES110" s="33"/>
      <c r="ET110" s="11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0"/>
      <c r="FF110" s="33"/>
      <c r="FG110" s="33"/>
      <c r="FH110" s="33"/>
      <c r="FI110" s="33"/>
      <c r="FJ110" s="11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0"/>
      <c r="FV110" s="33"/>
      <c r="FW110" s="33"/>
      <c r="FX110" s="33"/>
      <c r="FY110" s="33"/>
      <c r="FZ110" s="11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0"/>
      <c r="GL110" s="33"/>
      <c r="GM110" s="33"/>
      <c r="GN110" s="33"/>
      <c r="GO110" s="33"/>
      <c r="GP110" s="11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0"/>
      <c r="HB110" s="33"/>
      <c r="HC110" s="33"/>
      <c r="HD110" s="33"/>
      <c r="HE110" s="33"/>
      <c r="HF110" s="11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0"/>
      <c r="HR110" s="33"/>
      <c r="HS110" s="33"/>
      <c r="HT110" s="33"/>
      <c r="HU110" s="33"/>
      <c r="HV110" s="11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0"/>
      <c r="IH110" s="33"/>
      <c r="II110" s="33"/>
      <c r="IJ110" s="33"/>
      <c r="IK110" s="33"/>
      <c r="IL110" s="11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</row>
    <row r="111" spans="1:256" s="7" customFormat="1" ht="18.75" customHeight="1">
      <c r="A111" s="75"/>
      <c r="B111" s="74"/>
      <c r="C111" s="74"/>
      <c r="D111" s="74"/>
      <c r="E111" s="44"/>
      <c r="F111" s="72">
        <v>2017</v>
      </c>
      <c r="G111" s="38">
        <f>G118+G125+G132</f>
        <v>272771.39999999997</v>
      </c>
      <c r="H111" s="38">
        <f>H118+H125+H132</f>
        <v>191800.9</v>
      </c>
      <c r="I111" s="38">
        <f>I118+I125+I132</f>
        <v>61800.899999999994</v>
      </c>
      <c r="J111" s="38">
        <f aca="true" t="shared" si="46" ref="J111:P111">J118+J125+J132</f>
        <v>61800.899999999994</v>
      </c>
      <c r="K111" s="38">
        <f t="shared" si="46"/>
        <v>100000</v>
      </c>
      <c r="L111" s="38">
        <f t="shared" si="46"/>
        <v>100000</v>
      </c>
      <c r="M111" s="38">
        <f t="shared" si="46"/>
        <v>110970.5</v>
      </c>
      <c r="N111" s="38">
        <f t="shared" si="46"/>
        <v>30000</v>
      </c>
      <c r="O111" s="38">
        <f t="shared" si="46"/>
        <v>0</v>
      </c>
      <c r="P111" s="38">
        <f t="shared" si="46"/>
        <v>0</v>
      </c>
      <c r="Q111" s="39"/>
      <c r="R111" s="68"/>
      <c r="S111" s="33"/>
      <c r="T111" s="33"/>
      <c r="U111" s="33"/>
      <c r="V111" s="11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0"/>
      <c r="AH111" s="33"/>
      <c r="AI111" s="33"/>
      <c r="AJ111" s="33"/>
      <c r="AK111" s="33"/>
      <c r="AL111" s="11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0"/>
      <c r="AX111" s="33"/>
      <c r="AY111" s="33"/>
      <c r="AZ111" s="33"/>
      <c r="BA111" s="33"/>
      <c r="BB111" s="11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0"/>
      <c r="BN111" s="33"/>
      <c r="BO111" s="33"/>
      <c r="BP111" s="33"/>
      <c r="BQ111" s="33"/>
      <c r="BR111" s="11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0"/>
      <c r="CD111" s="33"/>
      <c r="CE111" s="33"/>
      <c r="CF111" s="33"/>
      <c r="CG111" s="33"/>
      <c r="CH111" s="11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0"/>
      <c r="CT111" s="33"/>
      <c r="CU111" s="33"/>
      <c r="CV111" s="33"/>
      <c r="CW111" s="33"/>
      <c r="CX111" s="11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0"/>
      <c r="DJ111" s="33"/>
      <c r="DK111" s="33"/>
      <c r="DL111" s="33"/>
      <c r="DM111" s="33"/>
      <c r="DN111" s="11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0"/>
      <c r="DZ111" s="33"/>
      <c r="EA111" s="33"/>
      <c r="EB111" s="33"/>
      <c r="EC111" s="33"/>
      <c r="ED111" s="11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0"/>
      <c r="EP111" s="33"/>
      <c r="EQ111" s="33"/>
      <c r="ER111" s="33"/>
      <c r="ES111" s="33"/>
      <c r="ET111" s="11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0"/>
      <c r="FF111" s="33"/>
      <c r="FG111" s="33"/>
      <c r="FH111" s="33"/>
      <c r="FI111" s="33"/>
      <c r="FJ111" s="11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0"/>
      <c r="FV111" s="33"/>
      <c r="FW111" s="33"/>
      <c r="FX111" s="33"/>
      <c r="FY111" s="33"/>
      <c r="FZ111" s="11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0"/>
      <c r="GL111" s="33"/>
      <c r="GM111" s="33"/>
      <c r="GN111" s="33"/>
      <c r="GO111" s="33"/>
      <c r="GP111" s="11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0"/>
      <c r="HB111" s="33"/>
      <c r="HC111" s="33"/>
      <c r="HD111" s="33"/>
      <c r="HE111" s="33"/>
      <c r="HF111" s="11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0"/>
      <c r="HR111" s="33"/>
      <c r="HS111" s="33"/>
      <c r="HT111" s="33"/>
      <c r="HU111" s="33"/>
      <c r="HV111" s="11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0"/>
      <c r="IH111" s="33"/>
      <c r="II111" s="33"/>
      <c r="IJ111" s="33"/>
      <c r="IK111" s="33"/>
      <c r="IL111" s="11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</row>
    <row r="112" spans="1:256" s="7" customFormat="1" ht="18.75" customHeight="1">
      <c r="A112" s="75"/>
      <c r="B112" s="74"/>
      <c r="C112" s="74"/>
      <c r="D112" s="74"/>
      <c r="E112" s="44"/>
      <c r="F112" s="72">
        <v>2018</v>
      </c>
      <c r="G112" s="38">
        <f aca="true" t="shared" si="47" ref="G112:P112">G119+G126</f>
        <v>2652146</v>
      </c>
      <c r="H112" s="38">
        <f>H119+H126</f>
        <v>0</v>
      </c>
      <c r="I112" s="38">
        <f t="shared" si="47"/>
        <v>330433.8</v>
      </c>
      <c r="J112" s="38">
        <f t="shared" si="47"/>
        <v>0</v>
      </c>
      <c r="K112" s="38">
        <f t="shared" si="47"/>
        <v>1796553.5</v>
      </c>
      <c r="L112" s="38">
        <f t="shared" si="47"/>
        <v>0</v>
      </c>
      <c r="M112" s="38">
        <f t="shared" si="47"/>
        <v>525158.7</v>
      </c>
      <c r="N112" s="38">
        <f t="shared" si="47"/>
        <v>0</v>
      </c>
      <c r="O112" s="38">
        <f t="shared" si="47"/>
        <v>0</v>
      </c>
      <c r="P112" s="38">
        <f t="shared" si="47"/>
        <v>0</v>
      </c>
      <c r="Q112" s="39"/>
      <c r="R112" s="68"/>
      <c r="S112" s="33"/>
      <c r="T112" s="33"/>
      <c r="U112" s="33"/>
      <c r="V112" s="11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0"/>
      <c r="AH112" s="33"/>
      <c r="AI112" s="33"/>
      <c r="AJ112" s="33"/>
      <c r="AK112" s="33"/>
      <c r="AL112" s="11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0"/>
      <c r="AX112" s="33"/>
      <c r="AY112" s="33"/>
      <c r="AZ112" s="33"/>
      <c r="BA112" s="33"/>
      <c r="BB112" s="11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0"/>
      <c r="BN112" s="33"/>
      <c r="BO112" s="33"/>
      <c r="BP112" s="33"/>
      <c r="BQ112" s="33"/>
      <c r="BR112" s="11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0"/>
      <c r="CD112" s="33"/>
      <c r="CE112" s="33"/>
      <c r="CF112" s="33"/>
      <c r="CG112" s="33"/>
      <c r="CH112" s="11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0"/>
      <c r="CT112" s="33"/>
      <c r="CU112" s="33"/>
      <c r="CV112" s="33"/>
      <c r="CW112" s="33"/>
      <c r="CX112" s="11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0"/>
      <c r="DJ112" s="33"/>
      <c r="DK112" s="33"/>
      <c r="DL112" s="33"/>
      <c r="DM112" s="33"/>
      <c r="DN112" s="11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0"/>
      <c r="DZ112" s="33"/>
      <c r="EA112" s="33"/>
      <c r="EB112" s="33"/>
      <c r="EC112" s="33"/>
      <c r="ED112" s="11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0"/>
      <c r="EP112" s="33"/>
      <c r="EQ112" s="33"/>
      <c r="ER112" s="33"/>
      <c r="ES112" s="33"/>
      <c r="ET112" s="11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0"/>
      <c r="FF112" s="33"/>
      <c r="FG112" s="33"/>
      <c r="FH112" s="33"/>
      <c r="FI112" s="33"/>
      <c r="FJ112" s="11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0"/>
      <c r="FV112" s="33"/>
      <c r="FW112" s="33"/>
      <c r="FX112" s="33"/>
      <c r="FY112" s="33"/>
      <c r="FZ112" s="11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0"/>
      <c r="GL112" s="33"/>
      <c r="GM112" s="33"/>
      <c r="GN112" s="33"/>
      <c r="GO112" s="33"/>
      <c r="GP112" s="11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0"/>
      <c r="HB112" s="33"/>
      <c r="HC112" s="33"/>
      <c r="HD112" s="33"/>
      <c r="HE112" s="33"/>
      <c r="HF112" s="11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0"/>
      <c r="HR112" s="33"/>
      <c r="HS112" s="33"/>
      <c r="HT112" s="33"/>
      <c r="HU112" s="33"/>
      <c r="HV112" s="11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0"/>
      <c r="IH112" s="33"/>
      <c r="II112" s="33"/>
      <c r="IJ112" s="33"/>
      <c r="IK112" s="33"/>
      <c r="IL112" s="11"/>
      <c r="IM112" s="12"/>
      <c r="IN112" s="12"/>
      <c r="IO112" s="12"/>
      <c r="IP112" s="12"/>
      <c r="IQ112" s="12"/>
      <c r="IR112" s="12"/>
      <c r="IS112" s="12"/>
      <c r="IT112" s="12"/>
      <c r="IU112" s="12"/>
      <c r="IV112" s="12"/>
    </row>
    <row r="113" spans="1:256" s="7" customFormat="1" ht="18.75" customHeight="1">
      <c r="A113" s="75"/>
      <c r="B113" s="74"/>
      <c r="C113" s="74"/>
      <c r="D113" s="74"/>
      <c r="E113" s="44"/>
      <c r="F113" s="72">
        <v>2019</v>
      </c>
      <c r="G113" s="38">
        <f aca="true" t="shared" si="48" ref="G113:P113">G120+G127</f>
        <v>504840.9</v>
      </c>
      <c r="H113" s="38">
        <f t="shared" si="48"/>
        <v>0</v>
      </c>
      <c r="I113" s="38">
        <f t="shared" si="48"/>
        <v>77868.7</v>
      </c>
      <c r="J113" s="38">
        <f t="shared" si="48"/>
        <v>0</v>
      </c>
      <c r="K113" s="38">
        <f t="shared" si="48"/>
        <v>0</v>
      </c>
      <c r="L113" s="38">
        <f t="shared" si="48"/>
        <v>0</v>
      </c>
      <c r="M113" s="38">
        <f t="shared" si="48"/>
        <v>426972.2</v>
      </c>
      <c r="N113" s="38">
        <f t="shared" si="48"/>
        <v>0</v>
      </c>
      <c r="O113" s="38">
        <f t="shared" si="48"/>
        <v>0</v>
      </c>
      <c r="P113" s="38">
        <f t="shared" si="48"/>
        <v>0</v>
      </c>
      <c r="Q113" s="39"/>
      <c r="R113" s="68"/>
      <c r="S113" s="33"/>
      <c r="T113" s="33"/>
      <c r="U113" s="33"/>
      <c r="V113" s="11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0"/>
      <c r="AH113" s="33"/>
      <c r="AI113" s="33"/>
      <c r="AJ113" s="33"/>
      <c r="AK113" s="33"/>
      <c r="AL113" s="11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0"/>
      <c r="AX113" s="33"/>
      <c r="AY113" s="33"/>
      <c r="AZ113" s="33"/>
      <c r="BA113" s="33"/>
      <c r="BB113" s="11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0"/>
      <c r="BN113" s="33"/>
      <c r="BO113" s="33"/>
      <c r="BP113" s="33"/>
      <c r="BQ113" s="33"/>
      <c r="BR113" s="11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0"/>
      <c r="CD113" s="33"/>
      <c r="CE113" s="33"/>
      <c r="CF113" s="33"/>
      <c r="CG113" s="33"/>
      <c r="CH113" s="11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0"/>
      <c r="CT113" s="33"/>
      <c r="CU113" s="33"/>
      <c r="CV113" s="33"/>
      <c r="CW113" s="33"/>
      <c r="CX113" s="11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0"/>
      <c r="DJ113" s="33"/>
      <c r="DK113" s="33"/>
      <c r="DL113" s="33"/>
      <c r="DM113" s="33"/>
      <c r="DN113" s="11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0"/>
      <c r="DZ113" s="33"/>
      <c r="EA113" s="33"/>
      <c r="EB113" s="33"/>
      <c r="EC113" s="33"/>
      <c r="ED113" s="11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0"/>
      <c r="EP113" s="33"/>
      <c r="EQ113" s="33"/>
      <c r="ER113" s="33"/>
      <c r="ES113" s="33"/>
      <c r="ET113" s="11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0"/>
      <c r="FF113" s="33"/>
      <c r="FG113" s="33"/>
      <c r="FH113" s="33"/>
      <c r="FI113" s="33"/>
      <c r="FJ113" s="11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0"/>
      <c r="FV113" s="33"/>
      <c r="FW113" s="33"/>
      <c r="FX113" s="33"/>
      <c r="FY113" s="33"/>
      <c r="FZ113" s="11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0"/>
      <c r="GL113" s="33"/>
      <c r="GM113" s="33"/>
      <c r="GN113" s="33"/>
      <c r="GO113" s="33"/>
      <c r="GP113" s="11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0"/>
      <c r="HB113" s="33"/>
      <c r="HC113" s="33"/>
      <c r="HD113" s="33"/>
      <c r="HE113" s="33"/>
      <c r="HF113" s="11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0"/>
      <c r="HR113" s="33"/>
      <c r="HS113" s="33"/>
      <c r="HT113" s="33"/>
      <c r="HU113" s="33"/>
      <c r="HV113" s="11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0"/>
      <c r="IH113" s="33"/>
      <c r="II113" s="33"/>
      <c r="IJ113" s="33"/>
      <c r="IK113" s="33"/>
      <c r="IL113" s="11"/>
      <c r="IM113" s="12"/>
      <c r="IN113" s="12"/>
      <c r="IO113" s="12"/>
      <c r="IP113" s="12"/>
      <c r="IQ113" s="12"/>
      <c r="IR113" s="12"/>
      <c r="IS113" s="12"/>
      <c r="IT113" s="12"/>
      <c r="IU113" s="12"/>
      <c r="IV113" s="12"/>
    </row>
    <row r="114" spans="1:256" s="7" customFormat="1" ht="18.75" customHeight="1">
      <c r="A114" s="75"/>
      <c r="B114" s="74"/>
      <c r="C114" s="74"/>
      <c r="D114" s="74"/>
      <c r="E114" s="44"/>
      <c r="F114" s="72">
        <v>2020</v>
      </c>
      <c r="G114" s="38">
        <f aca="true" t="shared" si="49" ref="G114:P114">G121+G128</f>
        <v>466883.9</v>
      </c>
      <c r="H114" s="38">
        <f t="shared" si="49"/>
        <v>0</v>
      </c>
      <c r="I114" s="38">
        <f t="shared" si="49"/>
        <v>39911.7</v>
      </c>
      <c r="J114" s="38">
        <f t="shared" si="49"/>
        <v>0</v>
      </c>
      <c r="K114" s="38">
        <f t="shared" si="49"/>
        <v>0</v>
      </c>
      <c r="L114" s="38">
        <f t="shared" si="49"/>
        <v>0</v>
      </c>
      <c r="M114" s="38">
        <f t="shared" si="49"/>
        <v>426972.2</v>
      </c>
      <c r="N114" s="38">
        <f t="shared" si="49"/>
        <v>0</v>
      </c>
      <c r="O114" s="38">
        <f t="shared" si="49"/>
        <v>0</v>
      </c>
      <c r="P114" s="38">
        <f t="shared" si="49"/>
        <v>0</v>
      </c>
      <c r="Q114" s="39"/>
      <c r="R114" s="68"/>
      <c r="S114" s="33"/>
      <c r="T114" s="33"/>
      <c r="U114" s="33"/>
      <c r="V114" s="11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0"/>
      <c r="AH114" s="33"/>
      <c r="AI114" s="33"/>
      <c r="AJ114" s="33"/>
      <c r="AK114" s="33"/>
      <c r="AL114" s="11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0"/>
      <c r="AX114" s="33"/>
      <c r="AY114" s="33"/>
      <c r="AZ114" s="33"/>
      <c r="BA114" s="33"/>
      <c r="BB114" s="11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0"/>
      <c r="BN114" s="33"/>
      <c r="BO114" s="33"/>
      <c r="BP114" s="33"/>
      <c r="BQ114" s="33"/>
      <c r="BR114" s="11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0"/>
      <c r="CD114" s="33"/>
      <c r="CE114" s="33"/>
      <c r="CF114" s="33"/>
      <c r="CG114" s="33"/>
      <c r="CH114" s="11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0"/>
      <c r="CT114" s="33"/>
      <c r="CU114" s="33"/>
      <c r="CV114" s="33"/>
      <c r="CW114" s="33"/>
      <c r="CX114" s="11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0"/>
      <c r="DJ114" s="33"/>
      <c r="DK114" s="33"/>
      <c r="DL114" s="33"/>
      <c r="DM114" s="33"/>
      <c r="DN114" s="11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0"/>
      <c r="DZ114" s="33"/>
      <c r="EA114" s="33"/>
      <c r="EB114" s="33"/>
      <c r="EC114" s="33"/>
      <c r="ED114" s="11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0"/>
      <c r="EP114" s="33"/>
      <c r="EQ114" s="33"/>
      <c r="ER114" s="33"/>
      <c r="ES114" s="33"/>
      <c r="ET114" s="11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0"/>
      <c r="FF114" s="33"/>
      <c r="FG114" s="33"/>
      <c r="FH114" s="33"/>
      <c r="FI114" s="33"/>
      <c r="FJ114" s="11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0"/>
      <c r="FV114" s="33"/>
      <c r="FW114" s="33"/>
      <c r="FX114" s="33"/>
      <c r="FY114" s="33"/>
      <c r="FZ114" s="11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0"/>
      <c r="GL114" s="33"/>
      <c r="GM114" s="33"/>
      <c r="GN114" s="33"/>
      <c r="GO114" s="33"/>
      <c r="GP114" s="11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0"/>
      <c r="HB114" s="33"/>
      <c r="HC114" s="33"/>
      <c r="HD114" s="33"/>
      <c r="HE114" s="33"/>
      <c r="HF114" s="11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0"/>
      <c r="HR114" s="33"/>
      <c r="HS114" s="33"/>
      <c r="HT114" s="33"/>
      <c r="HU114" s="33"/>
      <c r="HV114" s="11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0"/>
      <c r="IH114" s="33"/>
      <c r="II114" s="33"/>
      <c r="IJ114" s="33"/>
      <c r="IK114" s="33"/>
      <c r="IL114" s="11"/>
      <c r="IM114" s="12"/>
      <c r="IN114" s="12"/>
      <c r="IO114" s="12"/>
      <c r="IP114" s="12"/>
      <c r="IQ114" s="12"/>
      <c r="IR114" s="12"/>
      <c r="IS114" s="12"/>
      <c r="IT114" s="12"/>
      <c r="IU114" s="12"/>
      <c r="IV114" s="12"/>
    </row>
    <row r="115" spans="1:256" s="7" customFormat="1" ht="18.75" customHeight="1">
      <c r="A115" s="75"/>
      <c r="B115" s="74" t="s">
        <v>189</v>
      </c>
      <c r="C115" s="74"/>
      <c r="D115" s="74"/>
      <c r="E115" s="44"/>
      <c r="F115" s="67" t="s">
        <v>98</v>
      </c>
      <c r="G115" s="40">
        <f aca="true" t="shared" si="50" ref="G115:G128">I115+K115+M115+O115</f>
        <v>444212.30000000005</v>
      </c>
      <c r="H115" s="40">
        <f aca="true" t="shared" si="51" ref="H115:H130">J115+L115+N115+P115</f>
        <v>8726.9</v>
      </c>
      <c r="I115" s="40">
        <f aca="true" t="shared" si="52" ref="I115:P115">SUM(I116:I121)</f>
        <v>429212.30000000005</v>
      </c>
      <c r="J115" s="40">
        <f t="shared" si="52"/>
        <v>8726.9</v>
      </c>
      <c r="K115" s="40">
        <f t="shared" si="52"/>
        <v>0</v>
      </c>
      <c r="L115" s="40">
        <f t="shared" si="52"/>
        <v>0</v>
      </c>
      <c r="M115" s="40">
        <f t="shared" si="52"/>
        <v>15000</v>
      </c>
      <c r="N115" s="40">
        <f t="shared" si="52"/>
        <v>0</v>
      </c>
      <c r="O115" s="40">
        <f t="shared" si="52"/>
        <v>0</v>
      </c>
      <c r="P115" s="40">
        <f t="shared" si="52"/>
        <v>0</v>
      </c>
      <c r="Q115" s="39"/>
      <c r="R115" s="68"/>
      <c r="S115" s="33"/>
      <c r="T115" s="33"/>
      <c r="U115" s="33"/>
      <c r="V115" s="8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10"/>
      <c r="AH115" s="33"/>
      <c r="AI115" s="33"/>
      <c r="AJ115" s="33"/>
      <c r="AK115" s="33"/>
      <c r="AL115" s="8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10"/>
      <c r="AX115" s="33"/>
      <c r="AY115" s="33"/>
      <c r="AZ115" s="33"/>
      <c r="BA115" s="33"/>
      <c r="BB115" s="8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0"/>
      <c r="BN115" s="33"/>
      <c r="BO115" s="33"/>
      <c r="BP115" s="33"/>
      <c r="BQ115" s="33"/>
      <c r="BR115" s="8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10"/>
      <c r="CD115" s="33"/>
      <c r="CE115" s="33"/>
      <c r="CF115" s="33"/>
      <c r="CG115" s="33"/>
      <c r="CH115" s="8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10"/>
      <c r="CT115" s="33"/>
      <c r="CU115" s="33"/>
      <c r="CV115" s="33"/>
      <c r="CW115" s="33"/>
      <c r="CX115" s="8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10"/>
      <c r="DJ115" s="33"/>
      <c r="DK115" s="33"/>
      <c r="DL115" s="33"/>
      <c r="DM115" s="33"/>
      <c r="DN115" s="8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10"/>
      <c r="DZ115" s="33"/>
      <c r="EA115" s="33"/>
      <c r="EB115" s="33"/>
      <c r="EC115" s="33"/>
      <c r="ED115" s="8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10"/>
      <c r="EP115" s="33"/>
      <c r="EQ115" s="33"/>
      <c r="ER115" s="33"/>
      <c r="ES115" s="33"/>
      <c r="ET115" s="8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10"/>
      <c r="FF115" s="33"/>
      <c r="FG115" s="33"/>
      <c r="FH115" s="33"/>
      <c r="FI115" s="33"/>
      <c r="FJ115" s="8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10"/>
      <c r="FV115" s="33"/>
      <c r="FW115" s="33"/>
      <c r="FX115" s="33"/>
      <c r="FY115" s="33"/>
      <c r="FZ115" s="8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10"/>
      <c r="GL115" s="33"/>
      <c r="GM115" s="33"/>
      <c r="GN115" s="33"/>
      <c r="GO115" s="33"/>
      <c r="GP115" s="8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10"/>
      <c r="HB115" s="33"/>
      <c r="HC115" s="33"/>
      <c r="HD115" s="33"/>
      <c r="HE115" s="33"/>
      <c r="HF115" s="8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10"/>
      <c r="HR115" s="33"/>
      <c r="HS115" s="33"/>
      <c r="HT115" s="33"/>
      <c r="HU115" s="33"/>
      <c r="HV115" s="8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10"/>
      <c r="IH115" s="33"/>
      <c r="II115" s="33"/>
      <c r="IJ115" s="33"/>
      <c r="IK115" s="33"/>
      <c r="IL115" s="8"/>
      <c r="IM115" s="9"/>
      <c r="IN115" s="9"/>
      <c r="IO115" s="9"/>
      <c r="IP115" s="9"/>
      <c r="IQ115" s="9"/>
      <c r="IR115" s="9"/>
      <c r="IS115" s="9"/>
      <c r="IT115" s="9"/>
      <c r="IU115" s="9"/>
      <c r="IV115" s="9"/>
    </row>
    <row r="116" spans="1:256" s="7" customFormat="1" ht="18.75" customHeight="1">
      <c r="A116" s="75"/>
      <c r="B116" s="74"/>
      <c r="C116" s="74"/>
      <c r="D116" s="74"/>
      <c r="E116" s="44"/>
      <c r="F116" s="72">
        <v>2015</v>
      </c>
      <c r="G116" s="38">
        <f t="shared" si="50"/>
        <v>181.7</v>
      </c>
      <c r="H116" s="38">
        <f t="shared" si="51"/>
        <v>181.7</v>
      </c>
      <c r="I116" s="38">
        <f aca="true" t="shared" si="53" ref="I116:P116">I34</f>
        <v>181.7</v>
      </c>
      <c r="J116" s="38">
        <f t="shared" si="53"/>
        <v>181.7</v>
      </c>
      <c r="K116" s="38">
        <f t="shared" si="53"/>
        <v>0</v>
      </c>
      <c r="L116" s="38">
        <f t="shared" si="53"/>
        <v>0</v>
      </c>
      <c r="M116" s="38">
        <f t="shared" si="53"/>
        <v>0</v>
      </c>
      <c r="N116" s="38">
        <f t="shared" si="53"/>
        <v>0</v>
      </c>
      <c r="O116" s="38">
        <f t="shared" si="53"/>
        <v>0</v>
      </c>
      <c r="P116" s="38">
        <f t="shared" si="53"/>
        <v>0</v>
      </c>
      <c r="Q116" s="39"/>
      <c r="R116" s="68"/>
      <c r="S116" s="33"/>
      <c r="T116" s="33"/>
      <c r="U116" s="33"/>
      <c r="V116" s="11"/>
      <c r="W116" s="12"/>
      <c r="X116" s="12"/>
      <c r="Y116" s="13"/>
      <c r="Z116" s="13"/>
      <c r="AA116" s="13"/>
      <c r="AB116" s="13"/>
      <c r="AC116" s="13"/>
      <c r="AD116" s="13"/>
      <c r="AE116" s="13"/>
      <c r="AF116" s="13"/>
      <c r="AG116" s="10"/>
      <c r="AH116" s="33"/>
      <c r="AI116" s="33"/>
      <c r="AJ116" s="33"/>
      <c r="AK116" s="33"/>
      <c r="AL116" s="11"/>
      <c r="AM116" s="12"/>
      <c r="AN116" s="12"/>
      <c r="AO116" s="13"/>
      <c r="AP116" s="13"/>
      <c r="AQ116" s="13"/>
      <c r="AR116" s="13"/>
      <c r="AS116" s="13"/>
      <c r="AT116" s="13"/>
      <c r="AU116" s="13"/>
      <c r="AV116" s="13"/>
      <c r="AW116" s="10"/>
      <c r="AX116" s="33"/>
      <c r="AY116" s="33"/>
      <c r="AZ116" s="33"/>
      <c r="BA116" s="33"/>
      <c r="BB116" s="11"/>
      <c r="BC116" s="12"/>
      <c r="BD116" s="12"/>
      <c r="BE116" s="13"/>
      <c r="BF116" s="13"/>
      <c r="BG116" s="13"/>
      <c r="BH116" s="13"/>
      <c r="BI116" s="13"/>
      <c r="BJ116" s="13"/>
      <c r="BK116" s="13"/>
      <c r="BL116" s="13"/>
      <c r="BM116" s="10"/>
      <c r="BN116" s="33"/>
      <c r="BO116" s="33"/>
      <c r="BP116" s="33"/>
      <c r="BQ116" s="33"/>
      <c r="BR116" s="11"/>
      <c r="BS116" s="12"/>
      <c r="BT116" s="12"/>
      <c r="BU116" s="13"/>
      <c r="BV116" s="13"/>
      <c r="BW116" s="13"/>
      <c r="BX116" s="13"/>
      <c r="BY116" s="13"/>
      <c r="BZ116" s="13"/>
      <c r="CA116" s="13"/>
      <c r="CB116" s="13"/>
      <c r="CC116" s="10"/>
      <c r="CD116" s="33"/>
      <c r="CE116" s="33"/>
      <c r="CF116" s="33"/>
      <c r="CG116" s="33"/>
      <c r="CH116" s="11"/>
      <c r="CI116" s="12"/>
      <c r="CJ116" s="12"/>
      <c r="CK116" s="13"/>
      <c r="CL116" s="13"/>
      <c r="CM116" s="13"/>
      <c r="CN116" s="13"/>
      <c r="CO116" s="13"/>
      <c r="CP116" s="13"/>
      <c r="CQ116" s="13"/>
      <c r="CR116" s="13"/>
      <c r="CS116" s="10"/>
      <c r="CT116" s="33"/>
      <c r="CU116" s="33"/>
      <c r="CV116" s="33"/>
      <c r="CW116" s="33"/>
      <c r="CX116" s="11"/>
      <c r="CY116" s="12"/>
      <c r="CZ116" s="12"/>
      <c r="DA116" s="13"/>
      <c r="DB116" s="13"/>
      <c r="DC116" s="13"/>
      <c r="DD116" s="13"/>
      <c r="DE116" s="13"/>
      <c r="DF116" s="13"/>
      <c r="DG116" s="13"/>
      <c r="DH116" s="13"/>
      <c r="DI116" s="10"/>
      <c r="DJ116" s="33"/>
      <c r="DK116" s="33"/>
      <c r="DL116" s="33"/>
      <c r="DM116" s="33"/>
      <c r="DN116" s="11"/>
      <c r="DO116" s="12"/>
      <c r="DP116" s="12"/>
      <c r="DQ116" s="13"/>
      <c r="DR116" s="13"/>
      <c r="DS116" s="13"/>
      <c r="DT116" s="13"/>
      <c r="DU116" s="13"/>
      <c r="DV116" s="13"/>
      <c r="DW116" s="13"/>
      <c r="DX116" s="13"/>
      <c r="DY116" s="10"/>
      <c r="DZ116" s="33"/>
      <c r="EA116" s="33"/>
      <c r="EB116" s="33"/>
      <c r="EC116" s="33"/>
      <c r="ED116" s="11"/>
      <c r="EE116" s="12"/>
      <c r="EF116" s="12"/>
      <c r="EG116" s="13"/>
      <c r="EH116" s="13"/>
      <c r="EI116" s="13"/>
      <c r="EJ116" s="13"/>
      <c r="EK116" s="13"/>
      <c r="EL116" s="13"/>
      <c r="EM116" s="13"/>
      <c r="EN116" s="13"/>
      <c r="EO116" s="10"/>
      <c r="EP116" s="33"/>
      <c r="EQ116" s="33"/>
      <c r="ER116" s="33"/>
      <c r="ES116" s="33"/>
      <c r="ET116" s="11"/>
      <c r="EU116" s="12"/>
      <c r="EV116" s="12"/>
      <c r="EW116" s="13"/>
      <c r="EX116" s="13"/>
      <c r="EY116" s="13"/>
      <c r="EZ116" s="13"/>
      <c r="FA116" s="13"/>
      <c r="FB116" s="13"/>
      <c r="FC116" s="13"/>
      <c r="FD116" s="13"/>
      <c r="FE116" s="10"/>
      <c r="FF116" s="33"/>
      <c r="FG116" s="33"/>
      <c r="FH116" s="33"/>
      <c r="FI116" s="33"/>
      <c r="FJ116" s="11"/>
      <c r="FK116" s="12"/>
      <c r="FL116" s="12"/>
      <c r="FM116" s="13"/>
      <c r="FN116" s="13"/>
      <c r="FO116" s="13"/>
      <c r="FP116" s="13"/>
      <c r="FQ116" s="13"/>
      <c r="FR116" s="13"/>
      <c r="FS116" s="13"/>
      <c r="FT116" s="13"/>
      <c r="FU116" s="10"/>
      <c r="FV116" s="33"/>
      <c r="FW116" s="33"/>
      <c r="FX116" s="33"/>
      <c r="FY116" s="33"/>
      <c r="FZ116" s="11"/>
      <c r="GA116" s="12"/>
      <c r="GB116" s="12"/>
      <c r="GC116" s="13"/>
      <c r="GD116" s="13"/>
      <c r="GE116" s="13"/>
      <c r="GF116" s="13"/>
      <c r="GG116" s="13"/>
      <c r="GH116" s="13"/>
      <c r="GI116" s="13"/>
      <c r="GJ116" s="13"/>
      <c r="GK116" s="10"/>
      <c r="GL116" s="33"/>
      <c r="GM116" s="33"/>
      <c r="GN116" s="33"/>
      <c r="GO116" s="33"/>
      <c r="GP116" s="11"/>
      <c r="GQ116" s="12"/>
      <c r="GR116" s="12"/>
      <c r="GS116" s="13"/>
      <c r="GT116" s="13"/>
      <c r="GU116" s="13"/>
      <c r="GV116" s="13"/>
      <c r="GW116" s="13"/>
      <c r="GX116" s="13"/>
      <c r="GY116" s="13"/>
      <c r="GZ116" s="13"/>
      <c r="HA116" s="10"/>
      <c r="HB116" s="33"/>
      <c r="HC116" s="33"/>
      <c r="HD116" s="33"/>
      <c r="HE116" s="33"/>
      <c r="HF116" s="11"/>
      <c r="HG116" s="12"/>
      <c r="HH116" s="12"/>
      <c r="HI116" s="13"/>
      <c r="HJ116" s="13"/>
      <c r="HK116" s="13"/>
      <c r="HL116" s="13"/>
      <c r="HM116" s="13"/>
      <c r="HN116" s="13"/>
      <c r="HO116" s="13"/>
      <c r="HP116" s="13"/>
      <c r="HQ116" s="10"/>
      <c r="HR116" s="33"/>
      <c r="HS116" s="33"/>
      <c r="HT116" s="33"/>
      <c r="HU116" s="33"/>
      <c r="HV116" s="11"/>
      <c r="HW116" s="12"/>
      <c r="HX116" s="12"/>
      <c r="HY116" s="13"/>
      <c r="HZ116" s="13"/>
      <c r="IA116" s="13"/>
      <c r="IB116" s="13"/>
      <c r="IC116" s="13"/>
      <c r="ID116" s="13"/>
      <c r="IE116" s="13"/>
      <c r="IF116" s="13"/>
      <c r="IG116" s="10"/>
      <c r="IH116" s="33"/>
      <c r="II116" s="33"/>
      <c r="IJ116" s="33"/>
      <c r="IK116" s="33"/>
      <c r="IL116" s="11"/>
      <c r="IM116" s="12"/>
      <c r="IN116" s="12"/>
      <c r="IO116" s="13"/>
      <c r="IP116" s="13"/>
      <c r="IQ116" s="13"/>
      <c r="IR116" s="13"/>
      <c r="IS116" s="13"/>
      <c r="IT116" s="13"/>
      <c r="IU116" s="13"/>
      <c r="IV116" s="13"/>
    </row>
    <row r="117" spans="1:256" s="7" customFormat="1" ht="18.75" customHeight="1">
      <c r="A117" s="75"/>
      <c r="B117" s="74"/>
      <c r="C117" s="74"/>
      <c r="D117" s="74"/>
      <c r="E117" s="44"/>
      <c r="F117" s="72">
        <v>2016</v>
      </c>
      <c r="G117" s="38">
        <f t="shared" si="50"/>
        <v>551.1</v>
      </c>
      <c r="H117" s="38">
        <f t="shared" si="51"/>
        <v>551.1</v>
      </c>
      <c r="I117" s="38">
        <f>I35</f>
        <v>551.1</v>
      </c>
      <c r="J117" s="38">
        <f aca="true" t="shared" si="54" ref="I117:J121">J35</f>
        <v>551.1</v>
      </c>
      <c r="K117" s="38">
        <f aca="true" t="shared" si="55" ref="K117:P121">K35</f>
        <v>0</v>
      </c>
      <c r="L117" s="38">
        <f t="shared" si="55"/>
        <v>0</v>
      </c>
      <c r="M117" s="38">
        <f t="shared" si="55"/>
        <v>0</v>
      </c>
      <c r="N117" s="38">
        <f t="shared" si="55"/>
        <v>0</v>
      </c>
      <c r="O117" s="38">
        <f t="shared" si="55"/>
        <v>0</v>
      </c>
      <c r="P117" s="38">
        <f t="shared" si="55"/>
        <v>0</v>
      </c>
      <c r="Q117" s="39"/>
      <c r="R117" s="68"/>
      <c r="S117" s="33"/>
      <c r="T117" s="33"/>
      <c r="U117" s="33"/>
      <c r="V117" s="11"/>
      <c r="W117" s="12"/>
      <c r="X117" s="12"/>
      <c r="Y117" s="13"/>
      <c r="Z117" s="13"/>
      <c r="AA117" s="13"/>
      <c r="AB117" s="13"/>
      <c r="AC117" s="13"/>
      <c r="AD117" s="13"/>
      <c r="AE117" s="13"/>
      <c r="AF117" s="13"/>
      <c r="AG117" s="10"/>
      <c r="AH117" s="33"/>
      <c r="AI117" s="33"/>
      <c r="AJ117" s="33"/>
      <c r="AK117" s="33"/>
      <c r="AL117" s="11"/>
      <c r="AM117" s="12"/>
      <c r="AN117" s="12"/>
      <c r="AO117" s="13"/>
      <c r="AP117" s="13"/>
      <c r="AQ117" s="13"/>
      <c r="AR117" s="13"/>
      <c r="AS117" s="13"/>
      <c r="AT117" s="13"/>
      <c r="AU117" s="13"/>
      <c r="AV117" s="13"/>
      <c r="AW117" s="10"/>
      <c r="AX117" s="33"/>
      <c r="AY117" s="33"/>
      <c r="AZ117" s="33"/>
      <c r="BA117" s="33"/>
      <c r="BB117" s="11"/>
      <c r="BC117" s="12"/>
      <c r="BD117" s="12"/>
      <c r="BE117" s="13"/>
      <c r="BF117" s="13"/>
      <c r="BG117" s="13"/>
      <c r="BH117" s="13"/>
      <c r="BI117" s="13"/>
      <c r="BJ117" s="13"/>
      <c r="BK117" s="13"/>
      <c r="BL117" s="13"/>
      <c r="BM117" s="10"/>
      <c r="BN117" s="33"/>
      <c r="BO117" s="33"/>
      <c r="BP117" s="33"/>
      <c r="BQ117" s="33"/>
      <c r="BR117" s="11"/>
      <c r="BS117" s="12"/>
      <c r="BT117" s="12"/>
      <c r="BU117" s="13"/>
      <c r="BV117" s="13"/>
      <c r="BW117" s="13"/>
      <c r="BX117" s="13"/>
      <c r="BY117" s="13"/>
      <c r="BZ117" s="13"/>
      <c r="CA117" s="13"/>
      <c r="CB117" s="13"/>
      <c r="CC117" s="10"/>
      <c r="CD117" s="33"/>
      <c r="CE117" s="33"/>
      <c r="CF117" s="33"/>
      <c r="CG117" s="33"/>
      <c r="CH117" s="11"/>
      <c r="CI117" s="12"/>
      <c r="CJ117" s="12"/>
      <c r="CK117" s="13"/>
      <c r="CL117" s="13"/>
      <c r="CM117" s="13"/>
      <c r="CN117" s="13"/>
      <c r="CO117" s="13"/>
      <c r="CP117" s="13"/>
      <c r="CQ117" s="13"/>
      <c r="CR117" s="13"/>
      <c r="CS117" s="10"/>
      <c r="CT117" s="33"/>
      <c r="CU117" s="33"/>
      <c r="CV117" s="33"/>
      <c r="CW117" s="33"/>
      <c r="CX117" s="11"/>
      <c r="CY117" s="12"/>
      <c r="CZ117" s="12"/>
      <c r="DA117" s="13"/>
      <c r="DB117" s="13"/>
      <c r="DC117" s="13"/>
      <c r="DD117" s="13"/>
      <c r="DE117" s="13"/>
      <c r="DF117" s="13"/>
      <c r="DG117" s="13"/>
      <c r="DH117" s="13"/>
      <c r="DI117" s="10"/>
      <c r="DJ117" s="33"/>
      <c r="DK117" s="33"/>
      <c r="DL117" s="33"/>
      <c r="DM117" s="33"/>
      <c r="DN117" s="11"/>
      <c r="DO117" s="12"/>
      <c r="DP117" s="12"/>
      <c r="DQ117" s="13"/>
      <c r="DR117" s="13"/>
      <c r="DS117" s="13"/>
      <c r="DT117" s="13"/>
      <c r="DU117" s="13"/>
      <c r="DV117" s="13"/>
      <c r="DW117" s="13"/>
      <c r="DX117" s="13"/>
      <c r="DY117" s="10"/>
      <c r="DZ117" s="33"/>
      <c r="EA117" s="33"/>
      <c r="EB117" s="33"/>
      <c r="EC117" s="33"/>
      <c r="ED117" s="11"/>
      <c r="EE117" s="12"/>
      <c r="EF117" s="12"/>
      <c r="EG117" s="13"/>
      <c r="EH117" s="13"/>
      <c r="EI117" s="13"/>
      <c r="EJ117" s="13"/>
      <c r="EK117" s="13"/>
      <c r="EL117" s="13"/>
      <c r="EM117" s="13"/>
      <c r="EN117" s="13"/>
      <c r="EO117" s="10"/>
      <c r="EP117" s="33"/>
      <c r="EQ117" s="33"/>
      <c r="ER117" s="33"/>
      <c r="ES117" s="33"/>
      <c r="ET117" s="11"/>
      <c r="EU117" s="12"/>
      <c r="EV117" s="12"/>
      <c r="EW117" s="13"/>
      <c r="EX117" s="13"/>
      <c r="EY117" s="13"/>
      <c r="EZ117" s="13"/>
      <c r="FA117" s="13"/>
      <c r="FB117" s="13"/>
      <c r="FC117" s="13"/>
      <c r="FD117" s="13"/>
      <c r="FE117" s="10"/>
      <c r="FF117" s="33"/>
      <c r="FG117" s="33"/>
      <c r="FH117" s="33"/>
      <c r="FI117" s="33"/>
      <c r="FJ117" s="11"/>
      <c r="FK117" s="12"/>
      <c r="FL117" s="12"/>
      <c r="FM117" s="13"/>
      <c r="FN117" s="13"/>
      <c r="FO117" s="13"/>
      <c r="FP117" s="13"/>
      <c r="FQ117" s="13"/>
      <c r="FR117" s="13"/>
      <c r="FS117" s="13"/>
      <c r="FT117" s="13"/>
      <c r="FU117" s="10"/>
      <c r="FV117" s="33"/>
      <c r="FW117" s="33"/>
      <c r="FX117" s="33"/>
      <c r="FY117" s="33"/>
      <c r="FZ117" s="11"/>
      <c r="GA117" s="12"/>
      <c r="GB117" s="12"/>
      <c r="GC117" s="13"/>
      <c r="GD117" s="13"/>
      <c r="GE117" s="13"/>
      <c r="GF117" s="13"/>
      <c r="GG117" s="13"/>
      <c r="GH117" s="13"/>
      <c r="GI117" s="13"/>
      <c r="GJ117" s="13"/>
      <c r="GK117" s="10"/>
      <c r="GL117" s="33"/>
      <c r="GM117" s="33"/>
      <c r="GN117" s="33"/>
      <c r="GO117" s="33"/>
      <c r="GP117" s="11"/>
      <c r="GQ117" s="12"/>
      <c r="GR117" s="12"/>
      <c r="GS117" s="13"/>
      <c r="GT117" s="13"/>
      <c r="GU117" s="13"/>
      <c r="GV117" s="13"/>
      <c r="GW117" s="13"/>
      <c r="GX117" s="13"/>
      <c r="GY117" s="13"/>
      <c r="GZ117" s="13"/>
      <c r="HA117" s="10"/>
      <c r="HB117" s="33"/>
      <c r="HC117" s="33"/>
      <c r="HD117" s="33"/>
      <c r="HE117" s="33"/>
      <c r="HF117" s="11"/>
      <c r="HG117" s="12"/>
      <c r="HH117" s="12"/>
      <c r="HI117" s="13"/>
      <c r="HJ117" s="13"/>
      <c r="HK117" s="13"/>
      <c r="HL117" s="13"/>
      <c r="HM117" s="13"/>
      <c r="HN117" s="13"/>
      <c r="HO117" s="13"/>
      <c r="HP117" s="13"/>
      <c r="HQ117" s="10"/>
      <c r="HR117" s="33"/>
      <c r="HS117" s="33"/>
      <c r="HT117" s="33"/>
      <c r="HU117" s="33"/>
      <c r="HV117" s="11"/>
      <c r="HW117" s="12"/>
      <c r="HX117" s="12"/>
      <c r="HY117" s="13"/>
      <c r="HZ117" s="13"/>
      <c r="IA117" s="13"/>
      <c r="IB117" s="13"/>
      <c r="IC117" s="13"/>
      <c r="ID117" s="13"/>
      <c r="IE117" s="13"/>
      <c r="IF117" s="13"/>
      <c r="IG117" s="10"/>
      <c r="IH117" s="33"/>
      <c r="II117" s="33"/>
      <c r="IJ117" s="33"/>
      <c r="IK117" s="33"/>
      <c r="IL117" s="11"/>
      <c r="IM117" s="12"/>
      <c r="IN117" s="12"/>
      <c r="IO117" s="13"/>
      <c r="IP117" s="13"/>
      <c r="IQ117" s="13"/>
      <c r="IR117" s="13"/>
      <c r="IS117" s="13"/>
      <c r="IT117" s="13"/>
      <c r="IU117" s="13"/>
      <c r="IV117" s="13"/>
    </row>
    <row r="118" spans="1:256" s="7" customFormat="1" ht="18.75" customHeight="1">
      <c r="A118" s="75"/>
      <c r="B118" s="74"/>
      <c r="C118" s="74"/>
      <c r="D118" s="74"/>
      <c r="E118" s="44"/>
      <c r="F118" s="72">
        <v>2017</v>
      </c>
      <c r="G118" s="38">
        <f t="shared" si="50"/>
        <v>7994.1</v>
      </c>
      <c r="H118" s="38">
        <f t="shared" si="51"/>
        <v>7994.1</v>
      </c>
      <c r="I118" s="38">
        <f>I36</f>
        <v>7994.1</v>
      </c>
      <c r="J118" s="38">
        <f t="shared" si="54"/>
        <v>7994.1</v>
      </c>
      <c r="K118" s="38">
        <f t="shared" si="55"/>
        <v>0</v>
      </c>
      <c r="L118" s="38">
        <f t="shared" si="55"/>
        <v>0</v>
      </c>
      <c r="M118" s="38">
        <f t="shared" si="55"/>
        <v>0</v>
      </c>
      <c r="N118" s="38">
        <f t="shared" si="55"/>
        <v>0</v>
      </c>
      <c r="O118" s="38">
        <f t="shared" si="55"/>
        <v>0</v>
      </c>
      <c r="P118" s="38">
        <f t="shared" si="55"/>
        <v>0</v>
      </c>
      <c r="Q118" s="39"/>
      <c r="R118" s="68"/>
      <c r="S118" s="33"/>
      <c r="T118" s="33"/>
      <c r="U118" s="33"/>
      <c r="V118" s="11"/>
      <c r="W118" s="12"/>
      <c r="X118" s="12"/>
      <c r="Y118" s="13"/>
      <c r="Z118" s="13"/>
      <c r="AA118" s="13"/>
      <c r="AB118" s="13"/>
      <c r="AC118" s="13"/>
      <c r="AD118" s="13"/>
      <c r="AE118" s="13"/>
      <c r="AF118" s="13"/>
      <c r="AG118" s="10"/>
      <c r="AH118" s="33"/>
      <c r="AI118" s="33"/>
      <c r="AJ118" s="33"/>
      <c r="AK118" s="33"/>
      <c r="AL118" s="11"/>
      <c r="AM118" s="12"/>
      <c r="AN118" s="12"/>
      <c r="AO118" s="13"/>
      <c r="AP118" s="13"/>
      <c r="AQ118" s="13"/>
      <c r="AR118" s="13"/>
      <c r="AS118" s="13"/>
      <c r="AT118" s="13"/>
      <c r="AU118" s="13"/>
      <c r="AV118" s="13"/>
      <c r="AW118" s="10"/>
      <c r="AX118" s="33"/>
      <c r="AY118" s="33"/>
      <c r="AZ118" s="33"/>
      <c r="BA118" s="33"/>
      <c r="BB118" s="11"/>
      <c r="BC118" s="12"/>
      <c r="BD118" s="12"/>
      <c r="BE118" s="13"/>
      <c r="BF118" s="13"/>
      <c r="BG118" s="13"/>
      <c r="BH118" s="13"/>
      <c r="BI118" s="13"/>
      <c r="BJ118" s="13"/>
      <c r="BK118" s="13"/>
      <c r="BL118" s="13"/>
      <c r="BM118" s="10"/>
      <c r="BN118" s="33"/>
      <c r="BO118" s="33"/>
      <c r="BP118" s="33"/>
      <c r="BQ118" s="33"/>
      <c r="BR118" s="11"/>
      <c r="BS118" s="12"/>
      <c r="BT118" s="12"/>
      <c r="BU118" s="13"/>
      <c r="BV118" s="13"/>
      <c r="BW118" s="13"/>
      <c r="BX118" s="13"/>
      <c r="BY118" s="13"/>
      <c r="BZ118" s="13"/>
      <c r="CA118" s="13"/>
      <c r="CB118" s="13"/>
      <c r="CC118" s="10"/>
      <c r="CD118" s="33"/>
      <c r="CE118" s="33"/>
      <c r="CF118" s="33"/>
      <c r="CG118" s="33"/>
      <c r="CH118" s="11"/>
      <c r="CI118" s="12"/>
      <c r="CJ118" s="12"/>
      <c r="CK118" s="13"/>
      <c r="CL118" s="13"/>
      <c r="CM118" s="13"/>
      <c r="CN118" s="13"/>
      <c r="CO118" s="13"/>
      <c r="CP118" s="13"/>
      <c r="CQ118" s="13"/>
      <c r="CR118" s="13"/>
      <c r="CS118" s="10"/>
      <c r="CT118" s="33"/>
      <c r="CU118" s="33"/>
      <c r="CV118" s="33"/>
      <c r="CW118" s="33"/>
      <c r="CX118" s="11"/>
      <c r="CY118" s="12"/>
      <c r="CZ118" s="12"/>
      <c r="DA118" s="13"/>
      <c r="DB118" s="13"/>
      <c r="DC118" s="13"/>
      <c r="DD118" s="13"/>
      <c r="DE118" s="13"/>
      <c r="DF118" s="13"/>
      <c r="DG118" s="13"/>
      <c r="DH118" s="13"/>
      <c r="DI118" s="10"/>
      <c r="DJ118" s="33"/>
      <c r="DK118" s="33"/>
      <c r="DL118" s="33"/>
      <c r="DM118" s="33"/>
      <c r="DN118" s="11"/>
      <c r="DO118" s="12"/>
      <c r="DP118" s="12"/>
      <c r="DQ118" s="13"/>
      <c r="DR118" s="13"/>
      <c r="DS118" s="13"/>
      <c r="DT118" s="13"/>
      <c r="DU118" s="13"/>
      <c r="DV118" s="13"/>
      <c r="DW118" s="13"/>
      <c r="DX118" s="13"/>
      <c r="DY118" s="10"/>
      <c r="DZ118" s="33"/>
      <c r="EA118" s="33"/>
      <c r="EB118" s="33"/>
      <c r="EC118" s="33"/>
      <c r="ED118" s="11"/>
      <c r="EE118" s="12"/>
      <c r="EF118" s="12"/>
      <c r="EG118" s="13"/>
      <c r="EH118" s="13"/>
      <c r="EI118" s="13"/>
      <c r="EJ118" s="13"/>
      <c r="EK118" s="13"/>
      <c r="EL118" s="13"/>
      <c r="EM118" s="13"/>
      <c r="EN118" s="13"/>
      <c r="EO118" s="10"/>
      <c r="EP118" s="33"/>
      <c r="EQ118" s="33"/>
      <c r="ER118" s="33"/>
      <c r="ES118" s="33"/>
      <c r="ET118" s="11"/>
      <c r="EU118" s="12"/>
      <c r="EV118" s="12"/>
      <c r="EW118" s="13"/>
      <c r="EX118" s="13"/>
      <c r="EY118" s="13"/>
      <c r="EZ118" s="13"/>
      <c r="FA118" s="13"/>
      <c r="FB118" s="13"/>
      <c r="FC118" s="13"/>
      <c r="FD118" s="13"/>
      <c r="FE118" s="10"/>
      <c r="FF118" s="33"/>
      <c r="FG118" s="33"/>
      <c r="FH118" s="33"/>
      <c r="FI118" s="33"/>
      <c r="FJ118" s="11"/>
      <c r="FK118" s="12"/>
      <c r="FL118" s="12"/>
      <c r="FM118" s="13"/>
      <c r="FN118" s="13"/>
      <c r="FO118" s="13"/>
      <c r="FP118" s="13"/>
      <c r="FQ118" s="13"/>
      <c r="FR118" s="13"/>
      <c r="FS118" s="13"/>
      <c r="FT118" s="13"/>
      <c r="FU118" s="10"/>
      <c r="FV118" s="33"/>
      <c r="FW118" s="33"/>
      <c r="FX118" s="33"/>
      <c r="FY118" s="33"/>
      <c r="FZ118" s="11"/>
      <c r="GA118" s="12"/>
      <c r="GB118" s="12"/>
      <c r="GC118" s="13"/>
      <c r="GD118" s="13"/>
      <c r="GE118" s="13"/>
      <c r="GF118" s="13"/>
      <c r="GG118" s="13"/>
      <c r="GH118" s="13"/>
      <c r="GI118" s="13"/>
      <c r="GJ118" s="13"/>
      <c r="GK118" s="10"/>
      <c r="GL118" s="33"/>
      <c r="GM118" s="33"/>
      <c r="GN118" s="33"/>
      <c r="GO118" s="33"/>
      <c r="GP118" s="11"/>
      <c r="GQ118" s="12"/>
      <c r="GR118" s="12"/>
      <c r="GS118" s="13"/>
      <c r="GT118" s="13"/>
      <c r="GU118" s="13"/>
      <c r="GV118" s="13"/>
      <c r="GW118" s="13"/>
      <c r="GX118" s="13"/>
      <c r="GY118" s="13"/>
      <c r="GZ118" s="13"/>
      <c r="HA118" s="10"/>
      <c r="HB118" s="33"/>
      <c r="HC118" s="33"/>
      <c r="HD118" s="33"/>
      <c r="HE118" s="33"/>
      <c r="HF118" s="11"/>
      <c r="HG118" s="12"/>
      <c r="HH118" s="12"/>
      <c r="HI118" s="13"/>
      <c r="HJ118" s="13"/>
      <c r="HK118" s="13"/>
      <c r="HL118" s="13"/>
      <c r="HM118" s="13"/>
      <c r="HN118" s="13"/>
      <c r="HO118" s="13"/>
      <c r="HP118" s="13"/>
      <c r="HQ118" s="10"/>
      <c r="HR118" s="33"/>
      <c r="HS118" s="33"/>
      <c r="HT118" s="33"/>
      <c r="HU118" s="33"/>
      <c r="HV118" s="11"/>
      <c r="HW118" s="12"/>
      <c r="HX118" s="12"/>
      <c r="HY118" s="13"/>
      <c r="HZ118" s="13"/>
      <c r="IA118" s="13"/>
      <c r="IB118" s="13"/>
      <c r="IC118" s="13"/>
      <c r="ID118" s="13"/>
      <c r="IE118" s="13"/>
      <c r="IF118" s="13"/>
      <c r="IG118" s="10"/>
      <c r="IH118" s="33"/>
      <c r="II118" s="33"/>
      <c r="IJ118" s="33"/>
      <c r="IK118" s="33"/>
      <c r="IL118" s="11"/>
      <c r="IM118" s="12"/>
      <c r="IN118" s="12"/>
      <c r="IO118" s="13"/>
      <c r="IP118" s="13"/>
      <c r="IQ118" s="13"/>
      <c r="IR118" s="13"/>
      <c r="IS118" s="13"/>
      <c r="IT118" s="13"/>
      <c r="IU118" s="13"/>
      <c r="IV118" s="13"/>
    </row>
    <row r="119" spans="1:256" s="7" customFormat="1" ht="18.75" customHeight="1">
      <c r="A119" s="75"/>
      <c r="B119" s="74"/>
      <c r="C119" s="74"/>
      <c r="D119" s="74"/>
      <c r="E119" s="44"/>
      <c r="F119" s="72">
        <v>2018</v>
      </c>
      <c r="G119" s="38">
        <f t="shared" si="50"/>
        <v>317705</v>
      </c>
      <c r="H119" s="38">
        <f>J119+L119+N119+P119</f>
        <v>0</v>
      </c>
      <c r="I119" s="38">
        <f>I37</f>
        <v>302705</v>
      </c>
      <c r="J119" s="38">
        <f>J37</f>
        <v>0</v>
      </c>
      <c r="K119" s="38">
        <f t="shared" si="55"/>
        <v>0</v>
      </c>
      <c r="L119" s="38">
        <f t="shared" si="55"/>
        <v>0</v>
      </c>
      <c r="M119" s="38">
        <f t="shared" si="55"/>
        <v>15000</v>
      </c>
      <c r="N119" s="38">
        <f t="shared" si="55"/>
        <v>0</v>
      </c>
      <c r="O119" s="38">
        <f t="shared" si="55"/>
        <v>0</v>
      </c>
      <c r="P119" s="38">
        <f t="shared" si="55"/>
        <v>0</v>
      </c>
      <c r="Q119" s="39"/>
      <c r="R119" s="68"/>
      <c r="S119" s="33"/>
      <c r="T119" s="33"/>
      <c r="U119" s="33"/>
      <c r="V119" s="11"/>
      <c r="W119" s="12"/>
      <c r="X119" s="12"/>
      <c r="Y119" s="13"/>
      <c r="Z119" s="13"/>
      <c r="AA119" s="13"/>
      <c r="AB119" s="13"/>
      <c r="AC119" s="13"/>
      <c r="AD119" s="13"/>
      <c r="AE119" s="13"/>
      <c r="AF119" s="13"/>
      <c r="AG119" s="10"/>
      <c r="AH119" s="33"/>
      <c r="AI119" s="33"/>
      <c r="AJ119" s="33"/>
      <c r="AK119" s="33"/>
      <c r="AL119" s="11"/>
      <c r="AM119" s="12"/>
      <c r="AN119" s="12"/>
      <c r="AO119" s="13"/>
      <c r="AP119" s="13"/>
      <c r="AQ119" s="13"/>
      <c r="AR119" s="13"/>
      <c r="AS119" s="13"/>
      <c r="AT119" s="13"/>
      <c r="AU119" s="13"/>
      <c r="AV119" s="13"/>
      <c r="AW119" s="10"/>
      <c r="AX119" s="33"/>
      <c r="AY119" s="33"/>
      <c r="AZ119" s="33"/>
      <c r="BA119" s="33"/>
      <c r="BB119" s="11"/>
      <c r="BC119" s="12"/>
      <c r="BD119" s="12"/>
      <c r="BE119" s="13"/>
      <c r="BF119" s="13"/>
      <c r="BG119" s="13"/>
      <c r="BH119" s="13"/>
      <c r="BI119" s="13"/>
      <c r="BJ119" s="13"/>
      <c r="BK119" s="13"/>
      <c r="BL119" s="13"/>
      <c r="BM119" s="10"/>
      <c r="BN119" s="33"/>
      <c r="BO119" s="33"/>
      <c r="BP119" s="33"/>
      <c r="BQ119" s="33"/>
      <c r="BR119" s="11"/>
      <c r="BS119" s="12"/>
      <c r="BT119" s="12"/>
      <c r="BU119" s="13"/>
      <c r="BV119" s="13"/>
      <c r="BW119" s="13"/>
      <c r="BX119" s="13"/>
      <c r="BY119" s="13"/>
      <c r="BZ119" s="13"/>
      <c r="CA119" s="13"/>
      <c r="CB119" s="13"/>
      <c r="CC119" s="10"/>
      <c r="CD119" s="33"/>
      <c r="CE119" s="33"/>
      <c r="CF119" s="33"/>
      <c r="CG119" s="33"/>
      <c r="CH119" s="11"/>
      <c r="CI119" s="12"/>
      <c r="CJ119" s="12"/>
      <c r="CK119" s="13"/>
      <c r="CL119" s="13"/>
      <c r="CM119" s="13"/>
      <c r="CN119" s="13"/>
      <c r="CO119" s="13"/>
      <c r="CP119" s="13"/>
      <c r="CQ119" s="13"/>
      <c r="CR119" s="13"/>
      <c r="CS119" s="10"/>
      <c r="CT119" s="33"/>
      <c r="CU119" s="33"/>
      <c r="CV119" s="33"/>
      <c r="CW119" s="33"/>
      <c r="CX119" s="11"/>
      <c r="CY119" s="12"/>
      <c r="CZ119" s="12"/>
      <c r="DA119" s="13"/>
      <c r="DB119" s="13"/>
      <c r="DC119" s="13"/>
      <c r="DD119" s="13"/>
      <c r="DE119" s="13"/>
      <c r="DF119" s="13"/>
      <c r="DG119" s="13"/>
      <c r="DH119" s="13"/>
      <c r="DI119" s="10"/>
      <c r="DJ119" s="33"/>
      <c r="DK119" s="33"/>
      <c r="DL119" s="33"/>
      <c r="DM119" s="33"/>
      <c r="DN119" s="11"/>
      <c r="DO119" s="12"/>
      <c r="DP119" s="12"/>
      <c r="DQ119" s="13"/>
      <c r="DR119" s="13"/>
      <c r="DS119" s="13"/>
      <c r="DT119" s="13"/>
      <c r="DU119" s="13"/>
      <c r="DV119" s="13"/>
      <c r="DW119" s="13"/>
      <c r="DX119" s="13"/>
      <c r="DY119" s="10"/>
      <c r="DZ119" s="33"/>
      <c r="EA119" s="33"/>
      <c r="EB119" s="33"/>
      <c r="EC119" s="33"/>
      <c r="ED119" s="11"/>
      <c r="EE119" s="12"/>
      <c r="EF119" s="12"/>
      <c r="EG119" s="13"/>
      <c r="EH119" s="13"/>
      <c r="EI119" s="13"/>
      <c r="EJ119" s="13"/>
      <c r="EK119" s="13"/>
      <c r="EL119" s="13"/>
      <c r="EM119" s="13"/>
      <c r="EN119" s="13"/>
      <c r="EO119" s="10"/>
      <c r="EP119" s="33"/>
      <c r="EQ119" s="33"/>
      <c r="ER119" s="33"/>
      <c r="ES119" s="33"/>
      <c r="ET119" s="11"/>
      <c r="EU119" s="12"/>
      <c r="EV119" s="12"/>
      <c r="EW119" s="13"/>
      <c r="EX119" s="13"/>
      <c r="EY119" s="13"/>
      <c r="EZ119" s="13"/>
      <c r="FA119" s="13"/>
      <c r="FB119" s="13"/>
      <c r="FC119" s="13"/>
      <c r="FD119" s="13"/>
      <c r="FE119" s="10"/>
      <c r="FF119" s="33"/>
      <c r="FG119" s="33"/>
      <c r="FH119" s="33"/>
      <c r="FI119" s="33"/>
      <c r="FJ119" s="11"/>
      <c r="FK119" s="12"/>
      <c r="FL119" s="12"/>
      <c r="FM119" s="13"/>
      <c r="FN119" s="13"/>
      <c r="FO119" s="13"/>
      <c r="FP119" s="13"/>
      <c r="FQ119" s="13"/>
      <c r="FR119" s="13"/>
      <c r="FS119" s="13"/>
      <c r="FT119" s="13"/>
      <c r="FU119" s="10"/>
      <c r="FV119" s="33"/>
      <c r="FW119" s="33"/>
      <c r="FX119" s="33"/>
      <c r="FY119" s="33"/>
      <c r="FZ119" s="11"/>
      <c r="GA119" s="12"/>
      <c r="GB119" s="12"/>
      <c r="GC119" s="13"/>
      <c r="GD119" s="13"/>
      <c r="GE119" s="13"/>
      <c r="GF119" s="13"/>
      <c r="GG119" s="13"/>
      <c r="GH119" s="13"/>
      <c r="GI119" s="13"/>
      <c r="GJ119" s="13"/>
      <c r="GK119" s="10"/>
      <c r="GL119" s="33"/>
      <c r="GM119" s="33"/>
      <c r="GN119" s="33"/>
      <c r="GO119" s="33"/>
      <c r="GP119" s="11"/>
      <c r="GQ119" s="12"/>
      <c r="GR119" s="12"/>
      <c r="GS119" s="13"/>
      <c r="GT119" s="13"/>
      <c r="GU119" s="13"/>
      <c r="GV119" s="13"/>
      <c r="GW119" s="13"/>
      <c r="GX119" s="13"/>
      <c r="GY119" s="13"/>
      <c r="GZ119" s="13"/>
      <c r="HA119" s="10"/>
      <c r="HB119" s="33"/>
      <c r="HC119" s="33"/>
      <c r="HD119" s="33"/>
      <c r="HE119" s="33"/>
      <c r="HF119" s="11"/>
      <c r="HG119" s="12"/>
      <c r="HH119" s="12"/>
      <c r="HI119" s="13"/>
      <c r="HJ119" s="13"/>
      <c r="HK119" s="13"/>
      <c r="HL119" s="13"/>
      <c r="HM119" s="13"/>
      <c r="HN119" s="13"/>
      <c r="HO119" s="13"/>
      <c r="HP119" s="13"/>
      <c r="HQ119" s="10"/>
      <c r="HR119" s="33"/>
      <c r="HS119" s="33"/>
      <c r="HT119" s="33"/>
      <c r="HU119" s="33"/>
      <c r="HV119" s="11"/>
      <c r="HW119" s="12"/>
      <c r="HX119" s="12"/>
      <c r="HY119" s="13"/>
      <c r="HZ119" s="13"/>
      <c r="IA119" s="13"/>
      <c r="IB119" s="13"/>
      <c r="IC119" s="13"/>
      <c r="ID119" s="13"/>
      <c r="IE119" s="13"/>
      <c r="IF119" s="13"/>
      <c r="IG119" s="10"/>
      <c r="IH119" s="33"/>
      <c r="II119" s="33"/>
      <c r="IJ119" s="33"/>
      <c r="IK119" s="33"/>
      <c r="IL119" s="11"/>
      <c r="IM119" s="12"/>
      <c r="IN119" s="12"/>
      <c r="IO119" s="13"/>
      <c r="IP119" s="13"/>
      <c r="IQ119" s="13"/>
      <c r="IR119" s="13"/>
      <c r="IS119" s="13"/>
      <c r="IT119" s="13"/>
      <c r="IU119" s="13"/>
      <c r="IV119" s="13"/>
    </row>
    <row r="120" spans="1:256" s="7" customFormat="1" ht="18.75" customHeight="1">
      <c r="A120" s="75"/>
      <c r="B120" s="74"/>
      <c r="C120" s="74"/>
      <c r="D120" s="74"/>
      <c r="E120" s="44"/>
      <c r="F120" s="72">
        <v>2019</v>
      </c>
      <c r="G120" s="38">
        <f t="shared" si="50"/>
        <v>77868.7</v>
      </c>
      <c r="H120" s="38">
        <f t="shared" si="51"/>
        <v>0</v>
      </c>
      <c r="I120" s="38">
        <f t="shared" si="54"/>
        <v>77868.7</v>
      </c>
      <c r="J120" s="38">
        <f t="shared" si="54"/>
        <v>0</v>
      </c>
      <c r="K120" s="38">
        <f t="shared" si="55"/>
        <v>0</v>
      </c>
      <c r="L120" s="38">
        <f t="shared" si="55"/>
        <v>0</v>
      </c>
      <c r="M120" s="38">
        <f t="shared" si="55"/>
        <v>0</v>
      </c>
      <c r="N120" s="38">
        <f t="shared" si="55"/>
        <v>0</v>
      </c>
      <c r="O120" s="38">
        <f t="shared" si="55"/>
        <v>0</v>
      </c>
      <c r="P120" s="38">
        <f t="shared" si="55"/>
        <v>0</v>
      </c>
      <c r="Q120" s="39"/>
      <c r="R120" s="68"/>
      <c r="S120" s="33"/>
      <c r="T120" s="33"/>
      <c r="U120" s="33"/>
      <c r="V120" s="11"/>
      <c r="W120" s="12"/>
      <c r="X120" s="12"/>
      <c r="Y120" s="13"/>
      <c r="Z120" s="13"/>
      <c r="AA120" s="13"/>
      <c r="AB120" s="13"/>
      <c r="AC120" s="13"/>
      <c r="AD120" s="13"/>
      <c r="AE120" s="13"/>
      <c r="AF120" s="13"/>
      <c r="AG120" s="10"/>
      <c r="AH120" s="33"/>
      <c r="AI120" s="33"/>
      <c r="AJ120" s="33"/>
      <c r="AK120" s="33"/>
      <c r="AL120" s="11"/>
      <c r="AM120" s="12"/>
      <c r="AN120" s="12"/>
      <c r="AO120" s="13"/>
      <c r="AP120" s="13"/>
      <c r="AQ120" s="13"/>
      <c r="AR120" s="13"/>
      <c r="AS120" s="13"/>
      <c r="AT120" s="13"/>
      <c r="AU120" s="13"/>
      <c r="AV120" s="13"/>
      <c r="AW120" s="10"/>
      <c r="AX120" s="33"/>
      <c r="AY120" s="33"/>
      <c r="AZ120" s="33"/>
      <c r="BA120" s="33"/>
      <c r="BB120" s="11"/>
      <c r="BC120" s="12"/>
      <c r="BD120" s="12"/>
      <c r="BE120" s="13"/>
      <c r="BF120" s="13"/>
      <c r="BG120" s="13"/>
      <c r="BH120" s="13"/>
      <c r="BI120" s="13"/>
      <c r="BJ120" s="13"/>
      <c r="BK120" s="13"/>
      <c r="BL120" s="13"/>
      <c r="BM120" s="10"/>
      <c r="BN120" s="33"/>
      <c r="BO120" s="33"/>
      <c r="BP120" s="33"/>
      <c r="BQ120" s="33"/>
      <c r="BR120" s="11"/>
      <c r="BS120" s="12"/>
      <c r="BT120" s="12"/>
      <c r="BU120" s="13"/>
      <c r="BV120" s="13"/>
      <c r="BW120" s="13"/>
      <c r="BX120" s="13"/>
      <c r="BY120" s="13"/>
      <c r="BZ120" s="13"/>
      <c r="CA120" s="13"/>
      <c r="CB120" s="13"/>
      <c r="CC120" s="10"/>
      <c r="CD120" s="33"/>
      <c r="CE120" s="33"/>
      <c r="CF120" s="33"/>
      <c r="CG120" s="33"/>
      <c r="CH120" s="11"/>
      <c r="CI120" s="12"/>
      <c r="CJ120" s="12"/>
      <c r="CK120" s="13"/>
      <c r="CL120" s="13"/>
      <c r="CM120" s="13"/>
      <c r="CN120" s="13"/>
      <c r="CO120" s="13"/>
      <c r="CP120" s="13"/>
      <c r="CQ120" s="13"/>
      <c r="CR120" s="13"/>
      <c r="CS120" s="10"/>
      <c r="CT120" s="33"/>
      <c r="CU120" s="33"/>
      <c r="CV120" s="33"/>
      <c r="CW120" s="33"/>
      <c r="CX120" s="11"/>
      <c r="CY120" s="12"/>
      <c r="CZ120" s="12"/>
      <c r="DA120" s="13"/>
      <c r="DB120" s="13"/>
      <c r="DC120" s="13"/>
      <c r="DD120" s="13"/>
      <c r="DE120" s="13"/>
      <c r="DF120" s="13"/>
      <c r="DG120" s="13"/>
      <c r="DH120" s="13"/>
      <c r="DI120" s="10"/>
      <c r="DJ120" s="33"/>
      <c r="DK120" s="33"/>
      <c r="DL120" s="33"/>
      <c r="DM120" s="33"/>
      <c r="DN120" s="11"/>
      <c r="DO120" s="12"/>
      <c r="DP120" s="12"/>
      <c r="DQ120" s="13"/>
      <c r="DR120" s="13"/>
      <c r="DS120" s="13"/>
      <c r="DT120" s="13"/>
      <c r="DU120" s="13"/>
      <c r="DV120" s="13"/>
      <c r="DW120" s="13"/>
      <c r="DX120" s="13"/>
      <c r="DY120" s="10"/>
      <c r="DZ120" s="33"/>
      <c r="EA120" s="33"/>
      <c r="EB120" s="33"/>
      <c r="EC120" s="33"/>
      <c r="ED120" s="11"/>
      <c r="EE120" s="12"/>
      <c r="EF120" s="12"/>
      <c r="EG120" s="13"/>
      <c r="EH120" s="13"/>
      <c r="EI120" s="13"/>
      <c r="EJ120" s="13"/>
      <c r="EK120" s="13"/>
      <c r="EL120" s="13"/>
      <c r="EM120" s="13"/>
      <c r="EN120" s="13"/>
      <c r="EO120" s="10"/>
      <c r="EP120" s="33"/>
      <c r="EQ120" s="33"/>
      <c r="ER120" s="33"/>
      <c r="ES120" s="33"/>
      <c r="ET120" s="11"/>
      <c r="EU120" s="12"/>
      <c r="EV120" s="12"/>
      <c r="EW120" s="13"/>
      <c r="EX120" s="13"/>
      <c r="EY120" s="13"/>
      <c r="EZ120" s="13"/>
      <c r="FA120" s="13"/>
      <c r="FB120" s="13"/>
      <c r="FC120" s="13"/>
      <c r="FD120" s="13"/>
      <c r="FE120" s="10"/>
      <c r="FF120" s="33"/>
      <c r="FG120" s="33"/>
      <c r="FH120" s="33"/>
      <c r="FI120" s="33"/>
      <c r="FJ120" s="11"/>
      <c r="FK120" s="12"/>
      <c r="FL120" s="12"/>
      <c r="FM120" s="13"/>
      <c r="FN120" s="13"/>
      <c r="FO120" s="13"/>
      <c r="FP120" s="13"/>
      <c r="FQ120" s="13"/>
      <c r="FR120" s="13"/>
      <c r="FS120" s="13"/>
      <c r="FT120" s="13"/>
      <c r="FU120" s="10"/>
      <c r="FV120" s="33"/>
      <c r="FW120" s="33"/>
      <c r="FX120" s="33"/>
      <c r="FY120" s="33"/>
      <c r="FZ120" s="11"/>
      <c r="GA120" s="12"/>
      <c r="GB120" s="12"/>
      <c r="GC120" s="13"/>
      <c r="GD120" s="13"/>
      <c r="GE120" s="13"/>
      <c r="GF120" s="13"/>
      <c r="GG120" s="13"/>
      <c r="GH120" s="13"/>
      <c r="GI120" s="13"/>
      <c r="GJ120" s="13"/>
      <c r="GK120" s="10"/>
      <c r="GL120" s="33"/>
      <c r="GM120" s="33"/>
      <c r="GN120" s="33"/>
      <c r="GO120" s="33"/>
      <c r="GP120" s="11"/>
      <c r="GQ120" s="12"/>
      <c r="GR120" s="12"/>
      <c r="GS120" s="13"/>
      <c r="GT120" s="13"/>
      <c r="GU120" s="13"/>
      <c r="GV120" s="13"/>
      <c r="GW120" s="13"/>
      <c r="GX120" s="13"/>
      <c r="GY120" s="13"/>
      <c r="GZ120" s="13"/>
      <c r="HA120" s="10"/>
      <c r="HB120" s="33"/>
      <c r="HC120" s="33"/>
      <c r="HD120" s="33"/>
      <c r="HE120" s="33"/>
      <c r="HF120" s="11"/>
      <c r="HG120" s="12"/>
      <c r="HH120" s="12"/>
      <c r="HI120" s="13"/>
      <c r="HJ120" s="13"/>
      <c r="HK120" s="13"/>
      <c r="HL120" s="13"/>
      <c r="HM120" s="13"/>
      <c r="HN120" s="13"/>
      <c r="HO120" s="13"/>
      <c r="HP120" s="13"/>
      <c r="HQ120" s="10"/>
      <c r="HR120" s="33"/>
      <c r="HS120" s="33"/>
      <c r="HT120" s="33"/>
      <c r="HU120" s="33"/>
      <c r="HV120" s="11"/>
      <c r="HW120" s="12"/>
      <c r="HX120" s="12"/>
      <c r="HY120" s="13"/>
      <c r="HZ120" s="13"/>
      <c r="IA120" s="13"/>
      <c r="IB120" s="13"/>
      <c r="IC120" s="13"/>
      <c r="ID120" s="13"/>
      <c r="IE120" s="13"/>
      <c r="IF120" s="13"/>
      <c r="IG120" s="10"/>
      <c r="IH120" s="33"/>
      <c r="II120" s="33"/>
      <c r="IJ120" s="33"/>
      <c r="IK120" s="33"/>
      <c r="IL120" s="11"/>
      <c r="IM120" s="12"/>
      <c r="IN120" s="12"/>
      <c r="IO120" s="13"/>
      <c r="IP120" s="13"/>
      <c r="IQ120" s="13"/>
      <c r="IR120" s="13"/>
      <c r="IS120" s="13"/>
      <c r="IT120" s="13"/>
      <c r="IU120" s="13"/>
      <c r="IV120" s="13"/>
    </row>
    <row r="121" spans="1:256" s="7" customFormat="1" ht="18.75" customHeight="1">
      <c r="A121" s="75"/>
      <c r="B121" s="74"/>
      <c r="C121" s="74"/>
      <c r="D121" s="74"/>
      <c r="E121" s="44"/>
      <c r="F121" s="72">
        <v>2020</v>
      </c>
      <c r="G121" s="38">
        <f t="shared" si="50"/>
        <v>39911.7</v>
      </c>
      <c r="H121" s="38">
        <f t="shared" si="51"/>
        <v>0</v>
      </c>
      <c r="I121" s="38">
        <f t="shared" si="54"/>
        <v>39911.7</v>
      </c>
      <c r="J121" s="38">
        <f t="shared" si="54"/>
        <v>0</v>
      </c>
      <c r="K121" s="38">
        <f t="shared" si="55"/>
        <v>0</v>
      </c>
      <c r="L121" s="38">
        <f t="shared" si="55"/>
        <v>0</v>
      </c>
      <c r="M121" s="38">
        <f t="shared" si="55"/>
        <v>0</v>
      </c>
      <c r="N121" s="38">
        <f t="shared" si="55"/>
        <v>0</v>
      </c>
      <c r="O121" s="38">
        <f t="shared" si="55"/>
        <v>0</v>
      </c>
      <c r="P121" s="38">
        <f t="shared" si="55"/>
        <v>0</v>
      </c>
      <c r="Q121" s="39"/>
      <c r="R121" s="68"/>
      <c r="S121" s="33"/>
      <c r="T121" s="33"/>
      <c r="U121" s="33"/>
      <c r="V121" s="11"/>
      <c r="W121" s="12"/>
      <c r="X121" s="12"/>
      <c r="Y121" s="13"/>
      <c r="Z121" s="13"/>
      <c r="AA121" s="13"/>
      <c r="AB121" s="13"/>
      <c r="AC121" s="13"/>
      <c r="AD121" s="13"/>
      <c r="AE121" s="13"/>
      <c r="AF121" s="13"/>
      <c r="AG121" s="10"/>
      <c r="AH121" s="33"/>
      <c r="AI121" s="33"/>
      <c r="AJ121" s="33"/>
      <c r="AK121" s="33"/>
      <c r="AL121" s="11"/>
      <c r="AM121" s="12"/>
      <c r="AN121" s="12"/>
      <c r="AO121" s="13"/>
      <c r="AP121" s="13"/>
      <c r="AQ121" s="13"/>
      <c r="AR121" s="13"/>
      <c r="AS121" s="13"/>
      <c r="AT121" s="13"/>
      <c r="AU121" s="13"/>
      <c r="AV121" s="13"/>
      <c r="AW121" s="10"/>
      <c r="AX121" s="33"/>
      <c r="AY121" s="33"/>
      <c r="AZ121" s="33"/>
      <c r="BA121" s="33"/>
      <c r="BB121" s="11"/>
      <c r="BC121" s="12"/>
      <c r="BD121" s="12"/>
      <c r="BE121" s="13"/>
      <c r="BF121" s="13"/>
      <c r="BG121" s="13"/>
      <c r="BH121" s="13"/>
      <c r="BI121" s="13"/>
      <c r="BJ121" s="13"/>
      <c r="BK121" s="13"/>
      <c r="BL121" s="13"/>
      <c r="BM121" s="10"/>
      <c r="BN121" s="33"/>
      <c r="BO121" s="33"/>
      <c r="BP121" s="33"/>
      <c r="BQ121" s="33"/>
      <c r="BR121" s="11"/>
      <c r="BS121" s="12"/>
      <c r="BT121" s="12"/>
      <c r="BU121" s="13"/>
      <c r="BV121" s="13"/>
      <c r="BW121" s="13"/>
      <c r="BX121" s="13"/>
      <c r="BY121" s="13"/>
      <c r="BZ121" s="13"/>
      <c r="CA121" s="13"/>
      <c r="CB121" s="13"/>
      <c r="CC121" s="10"/>
      <c r="CD121" s="33"/>
      <c r="CE121" s="33"/>
      <c r="CF121" s="33"/>
      <c r="CG121" s="33"/>
      <c r="CH121" s="11"/>
      <c r="CI121" s="12"/>
      <c r="CJ121" s="12"/>
      <c r="CK121" s="13"/>
      <c r="CL121" s="13"/>
      <c r="CM121" s="13"/>
      <c r="CN121" s="13"/>
      <c r="CO121" s="13"/>
      <c r="CP121" s="13"/>
      <c r="CQ121" s="13"/>
      <c r="CR121" s="13"/>
      <c r="CS121" s="10"/>
      <c r="CT121" s="33"/>
      <c r="CU121" s="33"/>
      <c r="CV121" s="33"/>
      <c r="CW121" s="33"/>
      <c r="CX121" s="11"/>
      <c r="CY121" s="12"/>
      <c r="CZ121" s="12"/>
      <c r="DA121" s="13"/>
      <c r="DB121" s="13"/>
      <c r="DC121" s="13"/>
      <c r="DD121" s="13"/>
      <c r="DE121" s="13"/>
      <c r="DF121" s="13"/>
      <c r="DG121" s="13"/>
      <c r="DH121" s="13"/>
      <c r="DI121" s="10"/>
      <c r="DJ121" s="33"/>
      <c r="DK121" s="33"/>
      <c r="DL121" s="33"/>
      <c r="DM121" s="33"/>
      <c r="DN121" s="11"/>
      <c r="DO121" s="12"/>
      <c r="DP121" s="12"/>
      <c r="DQ121" s="13"/>
      <c r="DR121" s="13"/>
      <c r="DS121" s="13"/>
      <c r="DT121" s="13"/>
      <c r="DU121" s="13"/>
      <c r="DV121" s="13"/>
      <c r="DW121" s="13"/>
      <c r="DX121" s="13"/>
      <c r="DY121" s="10"/>
      <c r="DZ121" s="33"/>
      <c r="EA121" s="33"/>
      <c r="EB121" s="33"/>
      <c r="EC121" s="33"/>
      <c r="ED121" s="11"/>
      <c r="EE121" s="12"/>
      <c r="EF121" s="12"/>
      <c r="EG121" s="13"/>
      <c r="EH121" s="13"/>
      <c r="EI121" s="13"/>
      <c r="EJ121" s="13"/>
      <c r="EK121" s="13"/>
      <c r="EL121" s="13"/>
      <c r="EM121" s="13"/>
      <c r="EN121" s="13"/>
      <c r="EO121" s="10"/>
      <c r="EP121" s="33"/>
      <c r="EQ121" s="33"/>
      <c r="ER121" s="33"/>
      <c r="ES121" s="33"/>
      <c r="ET121" s="11"/>
      <c r="EU121" s="12"/>
      <c r="EV121" s="12"/>
      <c r="EW121" s="13"/>
      <c r="EX121" s="13"/>
      <c r="EY121" s="13"/>
      <c r="EZ121" s="13"/>
      <c r="FA121" s="13"/>
      <c r="FB121" s="13"/>
      <c r="FC121" s="13"/>
      <c r="FD121" s="13"/>
      <c r="FE121" s="10"/>
      <c r="FF121" s="33"/>
      <c r="FG121" s="33"/>
      <c r="FH121" s="33"/>
      <c r="FI121" s="33"/>
      <c r="FJ121" s="11"/>
      <c r="FK121" s="12"/>
      <c r="FL121" s="12"/>
      <c r="FM121" s="13"/>
      <c r="FN121" s="13"/>
      <c r="FO121" s="13"/>
      <c r="FP121" s="13"/>
      <c r="FQ121" s="13"/>
      <c r="FR121" s="13"/>
      <c r="FS121" s="13"/>
      <c r="FT121" s="13"/>
      <c r="FU121" s="10"/>
      <c r="FV121" s="33"/>
      <c r="FW121" s="33"/>
      <c r="FX121" s="33"/>
      <c r="FY121" s="33"/>
      <c r="FZ121" s="11"/>
      <c r="GA121" s="12"/>
      <c r="GB121" s="12"/>
      <c r="GC121" s="13"/>
      <c r="GD121" s="13"/>
      <c r="GE121" s="13"/>
      <c r="GF121" s="13"/>
      <c r="GG121" s="13"/>
      <c r="GH121" s="13"/>
      <c r="GI121" s="13"/>
      <c r="GJ121" s="13"/>
      <c r="GK121" s="10"/>
      <c r="GL121" s="33"/>
      <c r="GM121" s="33"/>
      <c r="GN121" s="33"/>
      <c r="GO121" s="33"/>
      <c r="GP121" s="11"/>
      <c r="GQ121" s="12"/>
      <c r="GR121" s="12"/>
      <c r="GS121" s="13"/>
      <c r="GT121" s="13"/>
      <c r="GU121" s="13"/>
      <c r="GV121" s="13"/>
      <c r="GW121" s="13"/>
      <c r="GX121" s="13"/>
      <c r="GY121" s="13"/>
      <c r="GZ121" s="13"/>
      <c r="HA121" s="10"/>
      <c r="HB121" s="33"/>
      <c r="HC121" s="33"/>
      <c r="HD121" s="33"/>
      <c r="HE121" s="33"/>
      <c r="HF121" s="11"/>
      <c r="HG121" s="12"/>
      <c r="HH121" s="12"/>
      <c r="HI121" s="13"/>
      <c r="HJ121" s="13"/>
      <c r="HK121" s="13"/>
      <c r="HL121" s="13"/>
      <c r="HM121" s="13"/>
      <c r="HN121" s="13"/>
      <c r="HO121" s="13"/>
      <c r="HP121" s="13"/>
      <c r="HQ121" s="10"/>
      <c r="HR121" s="33"/>
      <c r="HS121" s="33"/>
      <c r="HT121" s="33"/>
      <c r="HU121" s="33"/>
      <c r="HV121" s="11"/>
      <c r="HW121" s="12"/>
      <c r="HX121" s="12"/>
      <c r="HY121" s="13"/>
      <c r="HZ121" s="13"/>
      <c r="IA121" s="13"/>
      <c r="IB121" s="13"/>
      <c r="IC121" s="13"/>
      <c r="ID121" s="13"/>
      <c r="IE121" s="13"/>
      <c r="IF121" s="13"/>
      <c r="IG121" s="10"/>
      <c r="IH121" s="33"/>
      <c r="II121" s="33"/>
      <c r="IJ121" s="33"/>
      <c r="IK121" s="33"/>
      <c r="IL121" s="11"/>
      <c r="IM121" s="12"/>
      <c r="IN121" s="12"/>
      <c r="IO121" s="13"/>
      <c r="IP121" s="13"/>
      <c r="IQ121" s="13"/>
      <c r="IR121" s="13"/>
      <c r="IS121" s="13"/>
      <c r="IT121" s="13"/>
      <c r="IU121" s="13"/>
      <c r="IV121" s="13"/>
    </row>
    <row r="122" spans="1:256" s="7" customFormat="1" ht="18.75" customHeight="1">
      <c r="A122" s="75"/>
      <c r="B122" s="74" t="s">
        <v>123</v>
      </c>
      <c r="C122" s="74"/>
      <c r="D122" s="74"/>
      <c r="E122" s="44"/>
      <c r="F122" s="67" t="s">
        <v>98</v>
      </c>
      <c r="G122" s="40">
        <f t="shared" si="50"/>
        <v>3582480.7</v>
      </c>
      <c r="H122" s="40">
        <f t="shared" si="51"/>
        <v>313124.8</v>
      </c>
      <c r="I122" s="40">
        <f aca="true" t="shared" si="56" ref="I122:P122">SUM(I123:I128)</f>
        <v>210853.59999999998</v>
      </c>
      <c r="J122" s="40">
        <f t="shared" si="56"/>
        <v>183124.8</v>
      </c>
      <c r="K122" s="40">
        <f t="shared" si="56"/>
        <v>1896553.5</v>
      </c>
      <c r="L122" s="40">
        <f t="shared" si="56"/>
        <v>100000</v>
      </c>
      <c r="M122" s="40">
        <f t="shared" si="56"/>
        <v>1475073.5999999999</v>
      </c>
      <c r="N122" s="40">
        <f t="shared" si="56"/>
        <v>30000</v>
      </c>
      <c r="O122" s="40">
        <f t="shared" si="56"/>
        <v>0</v>
      </c>
      <c r="P122" s="40">
        <f t="shared" si="56"/>
        <v>0</v>
      </c>
      <c r="Q122" s="39"/>
      <c r="R122" s="68"/>
      <c r="S122" s="33"/>
      <c r="T122" s="33"/>
      <c r="U122" s="33"/>
      <c r="V122" s="8"/>
      <c r="W122" s="9"/>
      <c r="X122" s="9"/>
      <c r="Y122" s="14"/>
      <c r="Z122" s="14"/>
      <c r="AA122" s="14"/>
      <c r="AB122" s="14"/>
      <c r="AC122" s="14"/>
      <c r="AD122" s="14"/>
      <c r="AE122" s="14"/>
      <c r="AF122" s="14"/>
      <c r="AG122" s="10"/>
      <c r="AH122" s="33"/>
      <c r="AI122" s="33"/>
      <c r="AJ122" s="33"/>
      <c r="AK122" s="33"/>
      <c r="AL122" s="8"/>
      <c r="AM122" s="9"/>
      <c r="AN122" s="9"/>
      <c r="AO122" s="14"/>
      <c r="AP122" s="14"/>
      <c r="AQ122" s="14"/>
      <c r="AR122" s="14"/>
      <c r="AS122" s="14"/>
      <c r="AT122" s="14"/>
      <c r="AU122" s="14"/>
      <c r="AV122" s="14"/>
      <c r="AW122" s="10"/>
      <c r="AX122" s="33"/>
      <c r="AY122" s="33"/>
      <c r="AZ122" s="33"/>
      <c r="BA122" s="33"/>
      <c r="BB122" s="8"/>
      <c r="BC122" s="9"/>
      <c r="BD122" s="9"/>
      <c r="BE122" s="14"/>
      <c r="BF122" s="14"/>
      <c r="BG122" s="14"/>
      <c r="BH122" s="14"/>
      <c r="BI122" s="14"/>
      <c r="BJ122" s="14"/>
      <c r="BK122" s="14"/>
      <c r="BL122" s="14"/>
      <c r="BM122" s="10"/>
      <c r="BN122" s="33"/>
      <c r="BO122" s="33"/>
      <c r="BP122" s="33"/>
      <c r="BQ122" s="33"/>
      <c r="BR122" s="8"/>
      <c r="BS122" s="9"/>
      <c r="BT122" s="9"/>
      <c r="BU122" s="14"/>
      <c r="BV122" s="14"/>
      <c r="BW122" s="14"/>
      <c r="BX122" s="14"/>
      <c r="BY122" s="14"/>
      <c r="BZ122" s="14"/>
      <c r="CA122" s="14"/>
      <c r="CB122" s="14"/>
      <c r="CC122" s="10"/>
      <c r="CD122" s="33"/>
      <c r="CE122" s="33"/>
      <c r="CF122" s="33"/>
      <c r="CG122" s="33"/>
      <c r="CH122" s="8"/>
      <c r="CI122" s="9"/>
      <c r="CJ122" s="9"/>
      <c r="CK122" s="14"/>
      <c r="CL122" s="14"/>
      <c r="CM122" s="14"/>
      <c r="CN122" s="14"/>
      <c r="CO122" s="14"/>
      <c r="CP122" s="14"/>
      <c r="CQ122" s="14"/>
      <c r="CR122" s="14"/>
      <c r="CS122" s="10"/>
      <c r="CT122" s="33"/>
      <c r="CU122" s="33"/>
      <c r="CV122" s="33"/>
      <c r="CW122" s="33"/>
      <c r="CX122" s="8"/>
      <c r="CY122" s="9"/>
      <c r="CZ122" s="9"/>
      <c r="DA122" s="14"/>
      <c r="DB122" s="14"/>
      <c r="DC122" s="14"/>
      <c r="DD122" s="14"/>
      <c r="DE122" s="14"/>
      <c r="DF122" s="14"/>
      <c r="DG122" s="14"/>
      <c r="DH122" s="14"/>
      <c r="DI122" s="10"/>
      <c r="DJ122" s="33"/>
      <c r="DK122" s="33"/>
      <c r="DL122" s="33"/>
      <c r="DM122" s="33"/>
      <c r="DN122" s="8"/>
      <c r="DO122" s="9"/>
      <c r="DP122" s="9"/>
      <c r="DQ122" s="14"/>
      <c r="DR122" s="14"/>
      <c r="DS122" s="14"/>
      <c r="DT122" s="14"/>
      <c r="DU122" s="14"/>
      <c r="DV122" s="14"/>
      <c r="DW122" s="14"/>
      <c r="DX122" s="14"/>
      <c r="DY122" s="10"/>
      <c r="DZ122" s="33"/>
      <c r="EA122" s="33"/>
      <c r="EB122" s="33"/>
      <c r="EC122" s="33"/>
      <c r="ED122" s="8"/>
      <c r="EE122" s="9"/>
      <c r="EF122" s="9"/>
      <c r="EG122" s="14"/>
      <c r="EH122" s="14"/>
      <c r="EI122" s="14"/>
      <c r="EJ122" s="14"/>
      <c r="EK122" s="14"/>
      <c r="EL122" s="14"/>
      <c r="EM122" s="14"/>
      <c r="EN122" s="14"/>
      <c r="EO122" s="10"/>
      <c r="EP122" s="33"/>
      <c r="EQ122" s="33"/>
      <c r="ER122" s="33"/>
      <c r="ES122" s="33"/>
      <c r="ET122" s="8"/>
      <c r="EU122" s="9"/>
      <c r="EV122" s="9"/>
      <c r="EW122" s="14"/>
      <c r="EX122" s="14"/>
      <c r="EY122" s="14"/>
      <c r="EZ122" s="14"/>
      <c r="FA122" s="14"/>
      <c r="FB122" s="14"/>
      <c r="FC122" s="14"/>
      <c r="FD122" s="14"/>
      <c r="FE122" s="10"/>
      <c r="FF122" s="33"/>
      <c r="FG122" s="33"/>
      <c r="FH122" s="33"/>
      <c r="FI122" s="33"/>
      <c r="FJ122" s="8"/>
      <c r="FK122" s="9"/>
      <c r="FL122" s="9"/>
      <c r="FM122" s="14"/>
      <c r="FN122" s="14"/>
      <c r="FO122" s="14"/>
      <c r="FP122" s="14"/>
      <c r="FQ122" s="14"/>
      <c r="FR122" s="14"/>
      <c r="FS122" s="14"/>
      <c r="FT122" s="14"/>
      <c r="FU122" s="10"/>
      <c r="FV122" s="33"/>
      <c r="FW122" s="33"/>
      <c r="FX122" s="33"/>
      <c r="FY122" s="33"/>
      <c r="FZ122" s="8"/>
      <c r="GA122" s="9"/>
      <c r="GB122" s="9"/>
      <c r="GC122" s="14"/>
      <c r="GD122" s="14"/>
      <c r="GE122" s="14"/>
      <c r="GF122" s="14"/>
      <c r="GG122" s="14"/>
      <c r="GH122" s="14"/>
      <c r="GI122" s="14"/>
      <c r="GJ122" s="14"/>
      <c r="GK122" s="10"/>
      <c r="GL122" s="33"/>
      <c r="GM122" s="33"/>
      <c r="GN122" s="33"/>
      <c r="GO122" s="33"/>
      <c r="GP122" s="8"/>
      <c r="GQ122" s="9"/>
      <c r="GR122" s="9"/>
      <c r="GS122" s="14"/>
      <c r="GT122" s="14"/>
      <c r="GU122" s="14"/>
      <c r="GV122" s="14"/>
      <c r="GW122" s="14"/>
      <c r="GX122" s="14"/>
      <c r="GY122" s="14"/>
      <c r="GZ122" s="14"/>
      <c r="HA122" s="10"/>
      <c r="HB122" s="33"/>
      <c r="HC122" s="33"/>
      <c r="HD122" s="33"/>
      <c r="HE122" s="33"/>
      <c r="HF122" s="8"/>
      <c r="HG122" s="9"/>
      <c r="HH122" s="9"/>
      <c r="HI122" s="14"/>
      <c r="HJ122" s="14"/>
      <c r="HK122" s="14"/>
      <c r="HL122" s="14"/>
      <c r="HM122" s="14"/>
      <c r="HN122" s="14"/>
      <c r="HO122" s="14"/>
      <c r="HP122" s="14"/>
      <c r="HQ122" s="10"/>
      <c r="HR122" s="33"/>
      <c r="HS122" s="33"/>
      <c r="HT122" s="33"/>
      <c r="HU122" s="33"/>
      <c r="HV122" s="8"/>
      <c r="HW122" s="9"/>
      <c r="HX122" s="9"/>
      <c r="HY122" s="14"/>
      <c r="HZ122" s="14"/>
      <c r="IA122" s="14"/>
      <c r="IB122" s="14"/>
      <c r="IC122" s="14"/>
      <c r="ID122" s="14"/>
      <c r="IE122" s="14"/>
      <c r="IF122" s="14"/>
      <c r="IG122" s="10"/>
      <c r="IH122" s="33"/>
      <c r="II122" s="33"/>
      <c r="IJ122" s="33"/>
      <c r="IK122" s="33"/>
      <c r="IL122" s="8"/>
      <c r="IM122" s="9"/>
      <c r="IN122" s="9"/>
      <c r="IO122" s="14"/>
      <c r="IP122" s="14"/>
      <c r="IQ122" s="14"/>
      <c r="IR122" s="14"/>
      <c r="IS122" s="14"/>
      <c r="IT122" s="14"/>
      <c r="IU122" s="14"/>
      <c r="IV122" s="14"/>
    </row>
    <row r="123" spans="1:256" s="7" customFormat="1" ht="18.75" customHeight="1">
      <c r="A123" s="75"/>
      <c r="B123" s="74"/>
      <c r="C123" s="74"/>
      <c r="D123" s="74"/>
      <c r="E123" s="44"/>
      <c r="F123" s="72">
        <v>2015</v>
      </c>
      <c r="G123" s="38">
        <f t="shared" si="50"/>
        <v>59508.3</v>
      </c>
      <c r="H123" s="38">
        <f t="shared" si="51"/>
        <v>59508.3</v>
      </c>
      <c r="I123" s="38">
        <f aca="true" t="shared" si="57" ref="I123:P128">I41</f>
        <v>59508.3</v>
      </c>
      <c r="J123" s="38">
        <f t="shared" si="57"/>
        <v>59508.3</v>
      </c>
      <c r="K123" s="38">
        <f t="shared" si="57"/>
        <v>0</v>
      </c>
      <c r="L123" s="38">
        <f t="shared" si="57"/>
        <v>0</v>
      </c>
      <c r="M123" s="38">
        <f t="shared" si="57"/>
        <v>0</v>
      </c>
      <c r="N123" s="38">
        <f t="shared" si="57"/>
        <v>0</v>
      </c>
      <c r="O123" s="38">
        <f t="shared" si="57"/>
        <v>0</v>
      </c>
      <c r="P123" s="38">
        <f t="shared" si="57"/>
        <v>0</v>
      </c>
      <c r="Q123" s="39"/>
      <c r="R123" s="68"/>
      <c r="S123" s="33"/>
      <c r="T123" s="33"/>
      <c r="U123" s="33"/>
      <c r="V123" s="11"/>
      <c r="W123" s="12"/>
      <c r="X123" s="12"/>
      <c r="Y123" s="13"/>
      <c r="Z123" s="13"/>
      <c r="AA123" s="13"/>
      <c r="AB123" s="13"/>
      <c r="AC123" s="13"/>
      <c r="AD123" s="13"/>
      <c r="AE123" s="13"/>
      <c r="AF123" s="13"/>
      <c r="AG123" s="10"/>
      <c r="AH123" s="33"/>
      <c r="AI123" s="33"/>
      <c r="AJ123" s="33"/>
      <c r="AK123" s="33"/>
      <c r="AL123" s="11"/>
      <c r="AM123" s="12"/>
      <c r="AN123" s="12"/>
      <c r="AO123" s="13"/>
      <c r="AP123" s="13"/>
      <c r="AQ123" s="13"/>
      <c r="AR123" s="13"/>
      <c r="AS123" s="13"/>
      <c r="AT123" s="13"/>
      <c r="AU123" s="13"/>
      <c r="AV123" s="13"/>
      <c r="AW123" s="10"/>
      <c r="AX123" s="33"/>
      <c r="AY123" s="33"/>
      <c r="AZ123" s="33"/>
      <c r="BA123" s="33"/>
      <c r="BB123" s="11"/>
      <c r="BC123" s="12"/>
      <c r="BD123" s="12"/>
      <c r="BE123" s="13"/>
      <c r="BF123" s="13"/>
      <c r="BG123" s="13"/>
      <c r="BH123" s="13"/>
      <c r="BI123" s="13"/>
      <c r="BJ123" s="13"/>
      <c r="BK123" s="13"/>
      <c r="BL123" s="13"/>
      <c r="BM123" s="10"/>
      <c r="BN123" s="33"/>
      <c r="BO123" s="33"/>
      <c r="BP123" s="33"/>
      <c r="BQ123" s="33"/>
      <c r="BR123" s="11"/>
      <c r="BS123" s="12"/>
      <c r="BT123" s="12"/>
      <c r="BU123" s="13"/>
      <c r="BV123" s="13"/>
      <c r="BW123" s="13"/>
      <c r="BX123" s="13"/>
      <c r="BY123" s="13"/>
      <c r="BZ123" s="13"/>
      <c r="CA123" s="13"/>
      <c r="CB123" s="13"/>
      <c r="CC123" s="10"/>
      <c r="CD123" s="33"/>
      <c r="CE123" s="33"/>
      <c r="CF123" s="33"/>
      <c r="CG123" s="33"/>
      <c r="CH123" s="11"/>
      <c r="CI123" s="12"/>
      <c r="CJ123" s="12"/>
      <c r="CK123" s="13"/>
      <c r="CL123" s="13"/>
      <c r="CM123" s="13"/>
      <c r="CN123" s="13"/>
      <c r="CO123" s="13"/>
      <c r="CP123" s="13"/>
      <c r="CQ123" s="13"/>
      <c r="CR123" s="13"/>
      <c r="CS123" s="10"/>
      <c r="CT123" s="33"/>
      <c r="CU123" s="33"/>
      <c r="CV123" s="33"/>
      <c r="CW123" s="33"/>
      <c r="CX123" s="11"/>
      <c r="CY123" s="12"/>
      <c r="CZ123" s="12"/>
      <c r="DA123" s="13"/>
      <c r="DB123" s="13"/>
      <c r="DC123" s="13"/>
      <c r="DD123" s="13"/>
      <c r="DE123" s="13"/>
      <c r="DF123" s="13"/>
      <c r="DG123" s="13"/>
      <c r="DH123" s="13"/>
      <c r="DI123" s="10"/>
      <c r="DJ123" s="33"/>
      <c r="DK123" s="33"/>
      <c r="DL123" s="33"/>
      <c r="DM123" s="33"/>
      <c r="DN123" s="11"/>
      <c r="DO123" s="12"/>
      <c r="DP123" s="12"/>
      <c r="DQ123" s="13"/>
      <c r="DR123" s="13"/>
      <c r="DS123" s="13"/>
      <c r="DT123" s="13"/>
      <c r="DU123" s="13"/>
      <c r="DV123" s="13"/>
      <c r="DW123" s="13"/>
      <c r="DX123" s="13"/>
      <c r="DY123" s="10"/>
      <c r="DZ123" s="33"/>
      <c r="EA123" s="33"/>
      <c r="EB123" s="33"/>
      <c r="EC123" s="33"/>
      <c r="ED123" s="11"/>
      <c r="EE123" s="12"/>
      <c r="EF123" s="12"/>
      <c r="EG123" s="13"/>
      <c r="EH123" s="13"/>
      <c r="EI123" s="13"/>
      <c r="EJ123" s="13"/>
      <c r="EK123" s="13"/>
      <c r="EL123" s="13"/>
      <c r="EM123" s="13"/>
      <c r="EN123" s="13"/>
      <c r="EO123" s="10"/>
      <c r="EP123" s="33"/>
      <c r="EQ123" s="33"/>
      <c r="ER123" s="33"/>
      <c r="ES123" s="33"/>
      <c r="ET123" s="11"/>
      <c r="EU123" s="12"/>
      <c r="EV123" s="12"/>
      <c r="EW123" s="13"/>
      <c r="EX123" s="13"/>
      <c r="EY123" s="13"/>
      <c r="EZ123" s="13"/>
      <c r="FA123" s="13"/>
      <c r="FB123" s="13"/>
      <c r="FC123" s="13"/>
      <c r="FD123" s="13"/>
      <c r="FE123" s="10"/>
      <c r="FF123" s="33"/>
      <c r="FG123" s="33"/>
      <c r="FH123" s="33"/>
      <c r="FI123" s="33"/>
      <c r="FJ123" s="11"/>
      <c r="FK123" s="12"/>
      <c r="FL123" s="12"/>
      <c r="FM123" s="13"/>
      <c r="FN123" s="13"/>
      <c r="FO123" s="13"/>
      <c r="FP123" s="13"/>
      <c r="FQ123" s="13"/>
      <c r="FR123" s="13"/>
      <c r="FS123" s="13"/>
      <c r="FT123" s="13"/>
      <c r="FU123" s="10"/>
      <c r="FV123" s="33"/>
      <c r="FW123" s="33"/>
      <c r="FX123" s="33"/>
      <c r="FY123" s="33"/>
      <c r="FZ123" s="11"/>
      <c r="GA123" s="12"/>
      <c r="GB123" s="12"/>
      <c r="GC123" s="13"/>
      <c r="GD123" s="13"/>
      <c r="GE123" s="13"/>
      <c r="GF123" s="13"/>
      <c r="GG123" s="13"/>
      <c r="GH123" s="13"/>
      <c r="GI123" s="13"/>
      <c r="GJ123" s="13"/>
      <c r="GK123" s="10"/>
      <c r="GL123" s="33"/>
      <c r="GM123" s="33"/>
      <c r="GN123" s="33"/>
      <c r="GO123" s="33"/>
      <c r="GP123" s="11"/>
      <c r="GQ123" s="12"/>
      <c r="GR123" s="12"/>
      <c r="GS123" s="13"/>
      <c r="GT123" s="13"/>
      <c r="GU123" s="13"/>
      <c r="GV123" s="13"/>
      <c r="GW123" s="13"/>
      <c r="GX123" s="13"/>
      <c r="GY123" s="13"/>
      <c r="GZ123" s="13"/>
      <c r="HA123" s="10"/>
      <c r="HB123" s="33"/>
      <c r="HC123" s="33"/>
      <c r="HD123" s="33"/>
      <c r="HE123" s="33"/>
      <c r="HF123" s="11"/>
      <c r="HG123" s="12"/>
      <c r="HH123" s="12"/>
      <c r="HI123" s="13"/>
      <c r="HJ123" s="13"/>
      <c r="HK123" s="13"/>
      <c r="HL123" s="13"/>
      <c r="HM123" s="13"/>
      <c r="HN123" s="13"/>
      <c r="HO123" s="13"/>
      <c r="HP123" s="13"/>
      <c r="HQ123" s="10"/>
      <c r="HR123" s="33"/>
      <c r="HS123" s="33"/>
      <c r="HT123" s="33"/>
      <c r="HU123" s="33"/>
      <c r="HV123" s="11"/>
      <c r="HW123" s="12"/>
      <c r="HX123" s="12"/>
      <c r="HY123" s="13"/>
      <c r="HZ123" s="13"/>
      <c r="IA123" s="13"/>
      <c r="IB123" s="13"/>
      <c r="IC123" s="13"/>
      <c r="ID123" s="13"/>
      <c r="IE123" s="13"/>
      <c r="IF123" s="13"/>
      <c r="IG123" s="10"/>
      <c r="IH123" s="33"/>
      <c r="II123" s="33"/>
      <c r="IJ123" s="33"/>
      <c r="IK123" s="33"/>
      <c r="IL123" s="11"/>
      <c r="IM123" s="12"/>
      <c r="IN123" s="12"/>
      <c r="IO123" s="13"/>
      <c r="IP123" s="13"/>
      <c r="IQ123" s="13"/>
      <c r="IR123" s="13"/>
      <c r="IS123" s="13"/>
      <c r="IT123" s="13"/>
      <c r="IU123" s="13"/>
      <c r="IV123" s="13"/>
    </row>
    <row r="124" spans="1:256" s="7" customFormat="1" ht="18.75" customHeight="1">
      <c r="A124" s="75"/>
      <c r="B124" s="74"/>
      <c r="C124" s="74"/>
      <c r="D124" s="74"/>
      <c r="E124" s="44"/>
      <c r="F124" s="72">
        <v>2016</v>
      </c>
      <c r="G124" s="38">
        <f t="shared" si="50"/>
        <v>79809.70000000001</v>
      </c>
      <c r="H124" s="38">
        <f t="shared" si="51"/>
        <v>79809.70000000001</v>
      </c>
      <c r="I124" s="38">
        <f>I42</f>
        <v>79809.70000000001</v>
      </c>
      <c r="J124" s="38">
        <f t="shared" si="57"/>
        <v>79809.70000000001</v>
      </c>
      <c r="K124" s="38">
        <f t="shared" si="57"/>
        <v>0</v>
      </c>
      <c r="L124" s="38">
        <f t="shared" si="57"/>
        <v>0</v>
      </c>
      <c r="M124" s="38">
        <f t="shared" si="57"/>
        <v>0</v>
      </c>
      <c r="N124" s="38">
        <f t="shared" si="57"/>
        <v>0</v>
      </c>
      <c r="O124" s="38">
        <f t="shared" si="57"/>
        <v>0</v>
      </c>
      <c r="P124" s="38">
        <f t="shared" si="57"/>
        <v>0</v>
      </c>
      <c r="Q124" s="39"/>
      <c r="R124" s="68"/>
      <c r="S124" s="33"/>
      <c r="T124" s="33"/>
      <c r="U124" s="33"/>
      <c r="V124" s="11"/>
      <c r="W124" s="12"/>
      <c r="X124" s="12"/>
      <c r="Y124" s="13"/>
      <c r="Z124" s="13"/>
      <c r="AA124" s="13"/>
      <c r="AB124" s="13"/>
      <c r="AC124" s="13"/>
      <c r="AD124" s="13"/>
      <c r="AE124" s="13"/>
      <c r="AF124" s="13"/>
      <c r="AG124" s="10"/>
      <c r="AH124" s="33"/>
      <c r="AI124" s="33"/>
      <c r="AJ124" s="33"/>
      <c r="AK124" s="33"/>
      <c r="AL124" s="11"/>
      <c r="AM124" s="12"/>
      <c r="AN124" s="12"/>
      <c r="AO124" s="13"/>
      <c r="AP124" s="13"/>
      <c r="AQ124" s="13"/>
      <c r="AR124" s="13"/>
      <c r="AS124" s="13"/>
      <c r="AT124" s="13"/>
      <c r="AU124" s="13"/>
      <c r="AV124" s="13"/>
      <c r="AW124" s="10"/>
      <c r="AX124" s="33"/>
      <c r="AY124" s="33"/>
      <c r="AZ124" s="33"/>
      <c r="BA124" s="33"/>
      <c r="BB124" s="11"/>
      <c r="BC124" s="12"/>
      <c r="BD124" s="12"/>
      <c r="BE124" s="13"/>
      <c r="BF124" s="13"/>
      <c r="BG124" s="13"/>
      <c r="BH124" s="13"/>
      <c r="BI124" s="13"/>
      <c r="BJ124" s="13"/>
      <c r="BK124" s="13"/>
      <c r="BL124" s="13"/>
      <c r="BM124" s="10"/>
      <c r="BN124" s="33"/>
      <c r="BO124" s="33"/>
      <c r="BP124" s="33"/>
      <c r="BQ124" s="33"/>
      <c r="BR124" s="11"/>
      <c r="BS124" s="12"/>
      <c r="BT124" s="12"/>
      <c r="BU124" s="13"/>
      <c r="BV124" s="13"/>
      <c r="BW124" s="13"/>
      <c r="BX124" s="13"/>
      <c r="BY124" s="13"/>
      <c r="BZ124" s="13"/>
      <c r="CA124" s="13"/>
      <c r="CB124" s="13"/>
      <c r="CC124" s="10"/>
      <c r="CD124" s="33"/>
      <c r="CE124" s="33"/>
      <c r="CF124" s="33"/>
      <c r="CG124" s="33"/>
      <c r="CH124" s="11"/>
      <c r="CI124" s="12"/>
      <c r="CJ124" s="12"/>
      <c r="CK124" s="13"/>
      <c r="CL124" s="13"/>
      <c r="CM124" s="13"/>
      <c r="CN124" s="13"/>
      <c r="CO124" s="13"/>
      <c r="CP124" s="13"/>
      <c r="CQ124" s="13"/>
      <c r="CR124" s="13"/>
      <c r="CS124" s="10"/>
      <c r="CT124" s="33"/>
      <c r="CU124" s="33"/>
      <c r="CV124" s="33"/>
      <c r="CW124" s="33"/>
      <c r="CX124" s="11"/>
      <c r="CY124" s="12"/>
      <c r="CZ124" s="12"/>
      <c r="DA124" s="13"/>
      <c r="DB124" s="13"/>
      <c r="DC124" s="13"/>
      <c r="DD124" s="13"/>
      <c r="DE124" s="13"/>
      <c r="DF124" s="13"/>
      <c r="DG124" s="13"/>
      <c r="DH124" s="13"/>
      <c r="DI124" s="10"/>
      <c r="DJ124" s="33"/>
      <c r="DK124" s="33"/>
      <c r="DL124" s="33"/>
      <c r="DM124" s="33"/>
      <c r="DN124" s="11"/>
      <c r="DO124" s="12"/>
      <c r="DP124" s="12"/>
      <c r="DQ124" s="13"/>
      <c r="DR124" s="13"/>
      <c r="DS124" s="13"/>
      <c r="DT124" s="13"/>
      <c r="DU124" s="13"/>
      <c r="DV124" s="13"/>
      <c r="DW124" s="13"/>
      <c r="DX124" s="13"/>
      <c r="DY124" s="10"/>
      <c r="DZ124" s="33"/>
      <c r="EA124" s="33"/>
      <c r="EB124" s="33"/>
      <c r="EC124" s="33"/>
      <c r="ED124" s="11"/>
      <c r="EE124" s="12"/>
      <c r="EF124" s="12"/>
      <c r="EG124" s="13"/>
      <c r="EH124" s="13"/>
      <c r="EI124" s="13"/>
      <c r="EJ124" s="13"/>
      <c r="EK124" s="13"/>
      <c r="EL124" s="13"/>
      <c r="EM124" s="13"/>
      <c r="EN124" s="13"/>
      <c r="EO124" s="10"/>
      <c r="EP124" s="33"/>
      <c r="EQ124" s="33"/>
      <c r="ER124" s="33"/>
      <c r="ES124" s="33"/>
      <c r="ET124" s="11"/>
      <c r="EU124" s="12"/>
      <c r="EV124" s="12"/>
      <c r="EW124" s="13"/>
      <c r="EX124" s="13"/>
      <c r="EY124" s="13"/>
      <c r="EZ124" s="13"/>
      <c r="FA124" s="13"/>
      <c r="FB124" s="13"/>
      <c r="FC124" s="13"/>
      <c r="FD124" s="13"/>
      <c r="FE124" s="10"/>
      <c r="FF124" s="33"/>
      <c r="FG124" s="33"/>
      <c r="FH124" s="33"/>
      <c r="FI124" s="33"/>
      <c r="FJ124" s="11"/>
      <c r="FK124" s="12"/>
      <c r="FL124" s="12"/>
      <c r="FM124" s="13"/>
      <c r="FN124" s="13"/>
      <c r="FO124" s="13"/>
      <c r="FP124" s="13"/>
      <c r="FQ124" s="13"/>
      <c r="FR124" s="13"/>
      <c r="FS124" s="13"/>
      <c r="FT124" s="13"/>
      <c r="FU124" s="10"/>
      <c r="FV124" s="33"/>
      <c r="FW124" s="33"/>
      <c r="FX124" s="33"/>
      <c r="FY124" s="33"/>
      <c r="FZ124" s="11"/>
      <c r="GA124" s="12"/>
      <c r="GB124" s="12"/>
      <c r="GC124" s="13"/>
      <c r="GD124" s="13"/>
      <c r="GE124" s="13"/>
      <c r="GF124" s="13"/>
      <c r="GG124" s="13"/>
      <c r="GH124" s="13"/>
      <c r="GI124" s="13"/>
      <c r="GJ124" s="13"/>
      <c r="GK124" s="10"/>
      <c r="GL124" s="33"/>
      <c r="GM124" s="33"/>
      <c r="GN124" s="33"/>
      <c r="GO124" s="33"/>
      <c r="GP124" s="11"/>
      <c r="GQ124" s="12"/>
      <c r="GR124" s="12"/>
      <c r="GS124" s="13"/>
      <c r="GT124" s="13"/>
      <c r="GU124" s="13"/>
      <c r="GV124" s="13"/>
      <c r="GW124" s="13"/>
      <c r="GX124" s="13"/>
      <c r="GY124" s="13"/>
      <c r="GZ124" s="13"/>
      <c r="HA124" s="10"/>
      <c r="HB124" s="33"/>
      <c r="HC124" s="33"/>
      <c r="HD124" s="33"/>
      <c r="HE124" s="33"/>
      <c r="HF124" s="11"/>
      <c r="HG124" s="12"/>
      <c r="HH124" s="12"/>
      <c r="HI124" s="13"/>
      <c r="HJ124" s="13"/>
      <c r="HK124" s="13"/>
      <c r="HL124" s="13"/>
      <c r="HM124" s="13"/>
      <c r="HN124" s="13"/>
      <c r="HO124" s="13"/>
      <c r="HP124" s="13"/>
      <c r="HQ124" s="10"/>
      <c r="HR124" s="33"/>
      <c r="HS124" s="33"/>
      <c r="HT124" s="33"/>
      <c r="HU124" s="33"/>
      <c r="HV124" s="11"/>
      <c r="HW124" s="12"/>
      <c r="HX124" s="12"/>
      <c r="HY124" s="13"/>
      <c r="HZ124" s="13"/>
      <c r="IA124" s="13"/>
      <c r="IB124" s="13"/>
      <c r="IC124" s="13"/>
      <c r="ID124" s="13"/>
      <c r="IE124" s="13"/>
      <c r="IF124" s="13"/>
      <c r="IG124" s="10"/>
      <c r="IH124" s="33"/>
      <c r="II124" s="33"/>
      <c r="IJ124" s="33"/>
      <c r="IK124" s="33"/>
      <c r="IL124" s="11"/>
      <c r="IM124" s="12"/>
      <c r="IN124" s="12"/>
      <c r="IO124" s="13"/>
      <c r="IP124" s="13"/>
      <c r="IQ124" s="13"/>
      <c r="IR124" s="13"/>
      <c r="IS124" s="13"/>
      <c r="IT124" s="13"/>
      <c r="IU124" s="13"/>
      <c r="IV124" s="13"/>
    </row>
    <row r="125" spans="1:256" s="7" customFormat="1" ht="18.75" customHeight="1">
      <c r="A125" s="75"/>
      <c r="B125" s="74"/>
      <c r="C125" s="74"/>
      <c r="D125" s="74"/>
      <c r="E125" s="44"/>
      <c r="F125" s="72">
        <v>2017</v>
      </c>
      <c r="G125" s="38">
        <f t="shared" si="50"/>
        <v>254777.3</v>
      </c>
      <c r="H125" s="38">
        <f t="shared" si="51"/>
        <v>173806.8</v>
      </c>
      <c r="I125" s="38">
        <f>I43</f>
        <v>43806.799999999996</v>
      </c>
      <c r="J125" s="38">
        <f aca="true" t="shared" si="58" ref="J125:P125">J43</f>
        <v>43806.799999999996</v>
      </c>
      <c r="K125" s="38">
        <f t="shared" si="58"/>
        <v>100000</v>
      </c>
      <c r="L125" s="38">
        <f t="shared" si="58"/>
        <v>100000</v>
      </c>
      <c r="M125" s="38">
        <f t="shared" si="58"/>
        <v>110970.5</v>
      </c>
      <c r="N125" s="38">
        <f t="shared" si="58"/>
        <v>30000</v>
      </c>
      <c r="O125" s="38">
        <f t="shared" si="58"/>
        <v>0</v>
      </c>
      <c r="P125" s="38">
        <f t="shared" si="58"/>
        <v>0</v>
      </c>
      <c r="Q125" s="39"/>
      <c r="R125" s="68"/>
      <c r="S125" s="33"/>
      <c r="T125" s="33"/>
      <c r="U125" s="33"/>
      <c r="V125" s="11"/>
      <c r="W125" s="12"/>
      <c r="X125" s="12"/>
      <c r="Y125" s="13"/>
      <c r="Z125" s="13"/>
      <c r="AA125" s="13"/>
      <c r="AB125" s="13"/>
      <c r="AC125" s="13"/>
      <c r="AD125" s="13"/>
      <c r="AE125" s="13"/>
      <c r="AF125" s="13"/>
      <c r="AG125" s="10"/>
      <c r="AH125" s="33"/>
      <c r="AI125" s="33"/>
      <c r="AJ125" s="33"/>
      <c r="AK125" s="33"/>
      <c r="AL125" s="11"/>
      <c r="AM125" s="12"/>
      <c r="AN125" s="12"/>
      <c r="AO125" s="13"/>
      <c r="AP125" s="13"/>
      <c r="AQ125" s="13"/>
      <c r="AR125" s="13"/>
      <c r="AS125" s="13"/>
      <c r="AT125" s="13"/>
      <c r="AU125" s="13"/>
      <c r="AV125" s="13"/>
      <c r="AW125" s="10"/>
      <c r="AX125" s="33"/>
      <c r="AY125" s="33"/>
      <c r="AZ125" s="33"/>
      <c r="BA125" s="33"/>
      <c r="BB125" s="11"/>
      <c r="BC125" s="12"/>
      <c r="BD125" s="12"/>
      <c r="BE125" s="13"/>
      <c r="BF125" s="13"/>
      <c r="BG125" s="13"/>
      <c r="BH125" s="13"/>
      <c r="BI125" s="13"/>
      <c r="BJ125" s="13"/>
      <c r="BK125" s="13"/>
      <c r="BL125" s="13"/>
      <c r="BM125" s="10"/>
      <c r="BN125" s="33"/>
      <c r="BO125" s="33"/>
      <c r="BP125" s="33"/>
      <c r="BQ125" s="33"/>
      <c r="BR125" s="11"/>
      <c r="BS125" s="12"/>
      <c r="BT125" s="12"/>
      <c r="BU125" s="13"/>
      <c r="BV125" s="13"/>
      <c r="BW125" s="13"/>
      <c r="BX125" s="13"/>
      <c r="BY125" s="13"/>
      <c r="BZ125" s="13"/>
      <c r="CA125" s="13"/>
      <c r="CB125" s="13"/>
      <c r="CC125" s="10"/>
      <c r="CD125" s="33"/>
      <c r="CE125" s="33"/>
      <c r="CF125" s="33"/>
      <c r="CG125" s="33"/>
      <c r="CH125" s="11"/>
      <c r="CI125" s="12"/>
      <c r="CJ125" s="12"/>
      <c r="CK125" s="13"/>
      <c r="CL125" s="13"/>
      <c r="CM125" s="13"/>
      <c r="CN125" s="13"/>
      <c r="CO125" s="13"/>
      <c r="CP125" s="13"/>
      <c r="CQ125" s="13"/>
      <c r="CR125" s="13"/>
      <c r="CS125" s="10"/>
      <c r="CT125" s="33"/>
      <c r="CU125" s="33"/>
      <c r="CV125" s="33"/>
      <c r="CW125" s="33"/>
      <c r="CX125" s="11"/>
      <c r="CY125" s="12"/>
      <c r="CZ125" s="12"/>
      <c r="DA125" s="13"/>
      <c r="DB125" s="13"/>
      <c r="DC125" s="13"/>
      <c r="DD125" s="13"/>
      <c r="DE125" s="13"/>
      <c r="DF125" s="13"/>
      <c r="DG125" s="13"/>
      <c r="DH125" s="13"/>
      <c r="DI125" s="10"/>
      <c r="DJ125" s="33"/>
      <c r="DK125" s="33"/>
      <c r="DL125" s="33"/>
      <c r="DM125" s="33"/>
      <c r="DN125" s="11"/>
      <c r="DO125" s="12"/>
      <c r="DP125" s="12"/>
      <c r="DQ125" s="13"/>
      <c r="DR125" s="13"/>
      <c r="DS125" s="13"/>
      <c r="DT125" s="13"/>
      <c r="DU125" s="13"/>
      <c r="DV125" s="13"/>
      <c r="DW125" s="13"/>
      <c r="DX125" s="13"/>
      <c r="DY125" s="10"/>
      <c r="DZ125" s="33"/>
      <c r="EA125" s="33"/>
      <c r="EB125" s="33"/>
      <c r="EC125" s="33"/>
      <c r="ED125" s="11"/>
      <c r="EE125" s="12"/>
      <c r="EF125" s="12"/>
      <c r="EG125" s="13"/>
      <c r="EH125" s="13"/>
      <c r="EI125" s="13"/>
      <c r="EJ125" s="13"/>
      <c r="EK125" s="13"/>
      <c r="EL125" s="13"/>
      <c r="EM125" s="13"/>
      <c r="EN125" s="13"/>
      <c r="EO125" s="10"/>
      <c r="EP125" s="33"/>
      <c r="EQ125" s="33"/>
      <c r="ER125" s="33"/>
      <c r="ES125" s="33"/>
      <c r="ET125" s="11"/>
      <c r="EU125" s="12"/>
      <c r="EV125" s="12"/>
      <c r="EW125" s="13"/>
      <c r="EX125" s="13"/>
      <c r="EY125" s="13"/>
      <c r="EZ125" s="13"/>
      <c r="FA125" s="13"/>
      <c r="FB125" s="13"/>
      <c r="FC125" s="13"/>
      <c r="FD125" s="13"/>
      <c r="FE125" s="10"/>
      <c r="FF125" s="33"/>
      <c r="FG125" s="33"/>
      <c r="FH125" s="33"/>
      <c r="FI125" s="33"/>
      <c r="FJ125" s="11"/>
      <c r="FK125" s="12"/>
      <c r="FL125" s="12"/>
      <c r="FM125" s="13"/>
      <c r="FN125" s="13"/>
      <c r="FO125" s="13"/>
      <c r="FP125" s="13"/>
      <c r="FQ125" s="13"/>
      <c r="FR125" s="13"/>
      <c r="FS125" s="13"/>
      <c r="FT125" s="13"/>
      <c r="FU125" s="10"/>
      <c r="FV125" s="33"/>
      <c r="FW125" s="33"/>
      <c r="FX125" s="33"/>
      <c r="FY125" s="33"/>
      <c r="FZ125" s="11"/>
      <c r="GA125" s="12"/>
      <c r="GB125" s="12"/>
      <c r="GC125" s="13"/>
      <c r="GD125" s="13"/>
      <c r="GE125" s="13"/>
      <c r="GF125" s="13"/>
      <c r="GG125" s="13"/>
      <c r="GH125" s="13"/>
      <c r="GI125" s="13"/>
      <c r="GJ125" s="13"/>
      <c r="GK125" s="10"/>
      <c r="GL125" s="33"/>
      <c r="GM125" s="33"/>
      <c r="GN125" s="33"/>
      <c r="GO125" s="33"/>
      <c r="GP125" s="11"/>
      <c r="GQ125" s="12"/>
      <c r="GR125" s="12"/>
      <c r="GS125" s="13"/>
      <c r="GT125" s="13"/>
      <c r="GU125" s="13"/>
      <c r="GV125" s="13"/>
      <c r="GW125" s="13"/>
      <c r="GX125" s="13"/>
      <c r="GY125" s="13"/>
      <c r="GZ125" s="13"/>
      <c r="HA125" s="10"/>
      <c r="HB125" s="33"/>
      <c r="HC125" s="33"/>
      <c r="HD125" s="33"/>
      <c r="HE125" s="33"/>
      <c r="HF125" s="11"/>
      <c r="HG125" s="12"/>
      <c r="HH125" s="12"/>
      <c r="HI125" s="13"/>
      <c r="HJ125" s="13"/>
      <c r="HK125" s="13"/>
      <c r="HL125" s="13"/>
      <c r="HM125" s="13"/>
      <c r="HN125" s="13"/>
      <c r="HO125" s="13"/>
      <c r="HP125" s="13"/>
      <c r="HQ125" s="10"/>
      <c r="HR125" s="33"/>
      <c r="HS125" s="33"/>
      <c r="HT125" s="33"/>
      <c r="HU125" s="33"/>
      <c r="HV125" s="11"/>
      <c r="HW125" s="12"/>
      <c r="HX125" s="12"/>
      <c r="HY125" s="13"/>
      <c r="HZ125" s="13"/>
      <c r="IA125" s="13"/>
      <c r="IB125" s="13"/>
      <c r="IC125" s="13"/>
      <c r="ID125" s="13"/>
      <c r="IE125" s="13"/>
      <c r="IF125" s="13"/>
      <c r="IG125" s="10"/>
      <c r="IH125" s="33"/>
      <c r="II125" s="33"/>
      <c r="IJ125" s="33"/>
      <c r="IK125" s="33"/>
      <c r="IL125" s="11"/>
      <c r="IM125" s="12"/>
      <c r="IN125" s="12"/>
      <c r="IO125" s="13"/>
      <c r="IP125" s="13"/>
      <c r="IQ125" s="13"/>
      <c r="IR125" s="13"/>
      <c r="IS125" s="13"/>
      <c r="IT125" s="13"/>
      <c r="IU125" s="13"/>
      <c r="IV125" s="13"/>
    </row>
    <row r="126" spans="1:256" s="7" customFormat="1" ht="18.75" customHeight="1">
      <c r="A126" s="75"/>
      <c r="B126" s="74"/>
      <c r="C126" s="74"/>
      <c r="D126" s="74"/>
      <c r="E126" s="44"/>
      <c r="F126" s="72">
        <v>2018</v>
      </c>
      <c r="G126" s="38">
        <f t="shared" si="50"/>
        <v>2334441</v>
      </c>
      <c r="H126" s="38">
        <f t="shared" si="51"/>
        <v>0</v>
      </c>
      <c r="I126" s="38">
        <f t="shared" si="57"/>
        <v>27728.8</v>
      </c>
      <c r="J126" s="38">
        <f t="shared" si="57"/>
        <v>0</v>
      </c>
      <c r="K126" s="38">
        <f t="shared" si="57"/>
        <v>1796553.5</v>
      </c>
      <c r="L126" s="38">
        <f t="shared" si="57"/>
        <v>0</v>
      </c>
      <c r="M126" s="38">
        <f t="shared" si="57"/>
        <v>510158.7</v>
      </c>
      <c r="N126" s="38">
        <f t="shared" si="57"/>
        <v>0</v>
      </c>
      <c r="O126" s="38">
        <f t="shared" si="57"/>
        <v>0</v>
      </c>
      <c r="P126" s="38">
        <f t="shared" si="57"/>
        <v>0</v>
      </c>
      <c r="Q126" s="39"/>
      <c r="R126" s="68"/>
      <c r="S126" s="33"/>
      <c r="T126" s="33"/>
      <c r="U126" s="33"/>
      <c r="V126" s="11"/>
      <c r="W126" s="12"/>
      <c r="X126" s="12"/>
      <c r="Y126" s="13"/>
      <c r="Z126" s="13"/>
      <c r="AA126" s="13"/>
      <c r="AB126" s="13"/>
      <c r="AC126" s="13"/>
      <c r="AD126" s="13"/>
      <c r="AE126" s="13"/>
      <c r="AF126" s="13"/>
      <c r="AG126" s="10"/>
      <c r="AH126" s="33"/>
      <c r="AI126" s="33"/>
      <c r="AJ126" s="33"/>
      <c r="AK126" s="33"/>
      <c r="AL126" s="11"/>
      <c r="AM126" s="12"/>
      <c r="AN126" s="12"/>
      <c r="AO126" s="13"/>
      <c r="AP126" s="13"/>
      <c r="AQ126" s="13"/>
      <c r="AR126" s="13"/>
      <c r="AS126" s="13"/>
      <c r="AT126" s="13"/>
      <c r="AU126" s="13"/>
      <c r="AV126" s="13"/>
      <c r="AW126" s="10"/>
      <c r="AX126" s="33"/>
      <c r="AY126" s="33"/>
      <c r="AZ126" s="33"/>
      <c r="BA126" s="33"/>
      <c r="BB126" s="11"/>
      <c r="BC126" s="12"/>
      <c r="BD126" s="12"/>
      <c r="BE126" s="13"/>
      <c r="BF126" s="13"/>
      <c r="BG126" s="13"/>
      <c r="BH126" s="13"/>
      <c r="BI126" s="13"/>
      <c r="BJ126" s="13"/>
      <c r="BK126" s="13"/>
      <c r="BL126" s="13"/>
      <c r="BM126" s="10"/>
      <c r="BN126" s="33"/>
      <c r="BO126" s="33"/>
      <c r="BP126" s="33"/>
      <c r="BQ126" s="33"/>
      <c r="BR126" s="11"/>
      <c r="BS126" s="12"/>
      <c r="BT126" s="12"/>
      <c r="BU126" s="13"/>
      <c r="BV126" s="13"/>
      <c r="BW126" s="13"/>
      <c r="BX126" s="13"/>
      <c r="BY126" s="13"/>
      <c r="BZ126" s="13"/>
      <c r="CA126" s="13"/>
      <c r="CB126" s="13"/>
      <c r="CC126" s="10"/>
      <c r="CD126" s="33"/>
      <c r="CE126" s="33"/>
      <c r="CF126" s="33"/>
      <c r="CG126" s="33"/>
      <c r="CH126" s="11"/>
      <c r="CI126" s="12"/>
      <c r="CJ126" s="12"/>
      <c r="CK126" s="13"/>
      <c r="CL126" s="13"/>
      <c r="CM126" s="13"/>
      <c r="CN126" s="13"/>
      <c r="CO126" s="13"/>
      <c r="CP126" s="13"/>
      <c r="CQ126" s="13"/>
      <c r="CR126" s="13"/>
      <c r="CS126" s="10"/>
      <c r="CT126" s="33"/>
      <c r="CU126" s="33"/>
      <c r="CV126" s="33"/>
      <c r="CW126" s="33"/>
      <c r="CX126" s="11"/>
      <c r="CY126" s="12"/>
      <c r="CZ126" s="12"/>
      <c r="DA126" s="13"/>
      <c r="DB126" s="13"/>
      <c r="DC126" s="13"/>
      <c r="DD126" s="13"/>
      <c r="DE126" s="13"/>
      <c r="DF126" s="13"/>
      <c r="DG126" s="13"/>
      <c r="DH126" s="13"/>
      <c r="DI126" s="10"/>
      <c r="DJ126" s="33"/>
      <c r="DK126" s="33"/>
      <c r="DL126" s="33"/>
      <c r="DM126" s="33"/>
      <c r="DN126" s="11"/>
      <c r="DO126" s="12"/>
      <c r="DP126" s="12"/>
      <c r="DQ126" s="13"/>
      <c r="DR126" s="13"/>
      <c r="DS126" s="13"/>
      <c r="DT126" s="13"/>
      <c r="DU126" s="13"/>
      <c r="DV126" s="13"/>
      <c r="DW126" s="13"/>
      <c r="DX126" s="13"/>
      <c r="DY126" s="10"/>
      <c r="DZ126" s="33"/>
      <c r="EA126" s="33"/>
      <c r="EB126" s="33"/>
      <c r="EC126" s="33"/>
      <c r="ED126" s="11"/>
      <c r="EE126" s="12"/>
      <c r="EF126" s="12"/>
      <c r="EG126" s="13"/>
      <c r="EH126" s="13"/>
      <c r="EI126" s="13"/>
      <c r="EJ126" s="13"/>
      <c r="EK126" s="13"/>
      <c r="EL126" s="13"/>
      <c r="EM126" s="13"/>
      <c r="EN126" s="13"/>
      <c r="EO126" s="10"/>
      <c r="EP126" s="33"/>
      <c r="EQ126" s="33"/>
      <c r="ER126" s="33"/>
      <c r="ES126" s="33"/>
      <c r="ET126" s="11"/>
      <c r="EU126" s="12"/>
      <c r="EV126" s="12"/>
      <c r="EW126" s="13"/>
      <c r="EX126" s="13"/>
      <c r="EY126" s="13"/>
      <c r="EZ126" s="13"/>
      <c r="FA126" s="13"/>
      <c r="FB126" s="13"/>
      <c r="FC126" s="13"/>
      <c r="FD126" s="13"/>
      <c r="FE126" s="10"/>
      <c r="FF126" s="33"/>
      <c r="FG126" s="33"/>
      <c r="FH126" s="33"/>
      <c r="FI126" s="33"/>
      <c r="FJ126" s="11"/>
      <c r="FK126" s="12"/>
      <c r="FL126" s="12"/>
      <c r="FM126" s="13"/>
      <c r="FN126" s="13"/>
      <c r="FO126" s="13"/>
      <c r="FP126" s="13"/>
      <c r="FQ126" s="13"/>
      <c r="FR126" s="13"/>
      <c r="FS126" s="13"/>
      <c r="FT126" s="13"/>
      <c r="FU126" s="10"/>
      <c r="FV126" s="33"/>
      <c r="FW126" s="33"/>
      <c r="FX126" s="33"/>
      <c r="FY126" s="33"/>
      <c r="FZ126" s="11"/>
      <c r="GA126" s="12"/>
      <c r="GB126" s="12"/>
      <c r="GC126" s="13"/>
      <c r="GD126" s="13"/>
      <c r="GE126" s="13"/>
      <c r="GF126" s="13"/>
      <c r="GG126" s="13"/>
      <c r="GH126" s="13"/>
      <c r="GI126" s="13"/>
      <c r="GJ126" s="13"/>
      <c r="GK126" s="10"/>
      <c r="GL126" s="33"/>
      <c r="GM126" s="33"/>
      <c r="GN126" s="33"/>
      <c r="GO126" s="33"/>
      <c r="GP126" s="11"/>
      <c r="GQ126" s="12"/>
      <c r="GR126" s="12"/>
      <c r="GS126" s="13"/>
      <c r="GT126" s="13"/>
      <c r="GU126" s="13"/>
      <c r="GV126" s="13"/>
      <c r="GW126" s="13"/>
      <c r="GX126" s="13"/>
      <c r="GY126" s="13"/>
      <c r="GZ126" s="13"/>
      <c r="HA126" s="10"/>
      <c r="HB126" s="33"/>
      <c r="HC126" s="33"/>
      <c r="HD126" s="33"/>
      <c r="HE126" s="33"/>
      <c r="HF126" s="11"/>
      <c r="HG126" s="12"/>
      <c r="HH126" s="12"/>
      <c r="HI126" s="13"/>
      <c r="HJ126" s="13"/>
      <c r="HK126" s="13"/>
      <c r="HL126" s="13"/>
      <c r="HM126" s="13"/>
      <c r="HN126" s="13"/>
      <c r="HO126" s="13"/>
      <c r="HP126" s="13"/>
      <c r="HQ126" s="10"/>
      <c r="HR126" s="33"/>
      <c r="HS126" s="33"/>
      <c r="HT126" s="33"/>
      <c r="HU126" s="33"/>
      <c r="HV126" s="11"/>
      <c r="HW126" s="12"/>
      <c r="HX126" s="12"/>
      <c r="HY126" s="13"/>
      <c r="HZ126" s="13"/>
      <c r="IA126" s="13"/>
      <c r="IB126" s="13"/>
      <c r="IC126" s="13"/>
      <c r="ID126" s="13"/>
      <c r="IE126" s="13"/>
      <c r="IF126" s="13"/>
      <c r="IG126" s="10"/>
      <c r="IH126" s="33"/>
      <c r="II126" s="33"/>
      <c r="IJ126" s="33"/>
      <c r="IK126" s="33"/>
      <c r="IL126" s="11"/>
      <c r="IM126" s="12"/>
      <c r="IN126" s="12"/>
      <c r="IO126" s="13"/>
      <c r="IP126" s="13"/>
      <c r="IQ126" s="13"/>
      <c r="IR126" s="13"/>
      <c r="IS126" s="13"/>
      <c r="IT126" s="13"/>
      <c r="IU126" s="13"/>
      <c r="IV126" s="13"/>
    </row>
    <row r="127" spans="1:256" s="7" customFormat="1" ht="18.75" customHeight="1">
      <c r="A127" s="75"/>
      <c r="B127" s="74"/>
      <c r="C127" s="74"/>
      <c r="D127" s="74"/>
      <c r="E127" s="44"/>
      <c r="F127" s="72">
        <v>2019</v>
      </c>
      <c r="G127" s="38">
        <f t="shared" si="50"/>
        <v>426972.2</v>
      </c>
      <c r="H127" s="38">
        <f t="shared" si="51"/>
        <v>0</v>
      </c>
      <c r="I127" s="38">
        <f t="shared" si="57"/>
        <v>0</v>
      </c>
      <c r="J127" s="38">
        <f t="shared" si="57"/>
        <v>0</v>
      </c>
      <c r="K127" s="38">
        <f t="shared" si="57"/>
        <v>0</v>
      </c>
      <c r="L127" s="38">
        <f t="shared" si="57"/>
        <v>0</v>
      </c>
      <c r="M127" s="38">
        <f t="shared" si="57"/>
        <v>426972.2</v>
      </c>
      <c r="N127" s="38">
        <f t="shared" si="57"/>
        <v>0</v>
      </c>
      <c r="O127" s="38">
        <f t="shared" si="57"/>
        <v>0</v>
      </c>
      <c r="P127" s="38">
        <f t="shared" si="57"/>
        <v>0</v>
      </c>
      <c r="Q127" s="39"/>
      <c r="R127" s="68"/>
      <c r="S127" s="33"/>
      <c r="T127" s="33"/>
      <c r="U127" s="33"/>
      <c r="V127" s="11"/>
      <c r="W127" s="12"/>
      <c r="X127" s="12"/>
      <c r="Y127" s="15"/>
      <c r="Z127" s="15"/>
      <c r="AA127" s="15"/>
      <c r="AB127" s="15"/>
      <c r="AC127" s="15"/>
      <c r="AD127" s="15"/>
      <c r="AE127" s="15"/>
      <c r="AF127" s="15"/>
      <c r="AG127" s="10"/>
      <c r="AH127" s="33"/>
      <c r="AI127" s="33"/>
      <c r="AJ127" s="33"/>
      <c r="AK127" s="33"/>
      <c r="AL127" s="11"/>
      <c r="AM127" s="12"/>
      <c r="AN127" s="12"/>
      <c r="AO127" s="15"/>
      <c r="AP127" s="15"/>
      <c r="AQ127" s="15"/>
      <c r="AR127" s="15"/>
      <c r="AS127" s="15"/>
      <c r="AT127" s="15"/>
      <c r="AU127" s="15"/>
      <c r="AV127" s="15"/>
      <c r="AW127" s="10"/>
      <c r="AX127" s="33"/>
      <c r="AY127" s="33"/>
      <c r="AZ127" s="33"/>
      <c r="BA127" s="33"/>
      <c r="BB127" s="11"/>
      <c r="BC127" s="12"/>
      <c r="BD127" s="12"/>
      <c r="BE127" s="15"/>
      <c r="BF127" s="15"/>
      <c r="BG127" s="15"/>
      <c r="BH127" s="15"/>
      <c r="BI127" s="15"/>
      <c r="BJ127" s="15"/>
      <c r="BK127" s="15"/>
      <c r="BL127" s="15"/>
      <c r="BM127" s="10"/>
      <c r="BN127" s="33"/>
      <c r="BO127" s="33"/>
      <c r="BP127" s="33"/>
      <c r="BQ127" s="33"/>
      <c r="BR127" s="11"/>
      <c r="BS127" s="12"/>
      <c r="BT127" s="12"/>
      <c r="BU127" s="15"/>
      <c r="BV127" s="15"/>
      <c r="BW127" s="15"/>
      <c r="BX127" s="15"/>
      <c r="BY127" s="15"/>
      <c r="BZ127" s="15"/>
      <c r="CA127" s="15"/>
      <c r="CB127" s="15"/>
      <c r="CC127" s="10"/>
      <c r="CD127" s="33"/>
      <c r="CE127" s="33"/>
      <c r="CF127" s="33"/>
      <c r="CG127" s="33"/>
      <c r="CH127" s="11"/>
      <c r="CI127" s="12"/>
      <c r="CJ127" s="12"/>
      <c r="CK127" s="15"/>
      <c r="CL127" s="15"/>
      <c r="CM127" s="15"/>
      <c r="CN127" s="15"/>
      <c r="CO127" s="15"/>
      <c r="CP127" s="15"/>
      <c r="CQ127" s="15"/>
      <c r="CR127" s="15"/>
      <c r="CS127" s="10"/>
      <c r="CT127" s="33"/>
      <c r="CU127" s="33"/>
      <c r="CV127" s="33"/>
      <c r="CW127" s="33"/>
      <c r="CX127" s="11"/>
      <c r="CY127" s="12"/>
      <c r="CZ127" s="12"/>
      <c r="DA127" s="15"/>
      <c r="DB127" s="15"/>
      <c r="DC127" s="15"/>
      <c r="DD127" s="15"/>
      <c r="DE127" s="15"/>
      <c r="DF127" s="15"/>
      <c r="DG127" s="15"/>
      <c r="DH127" s="15"/>
      <c r="DI127" s="10"/>
      <c r="DJ127" s="33"/>
      <c r="DK127" s="33"/>
      <c r="DL127" s="33"/>
      <c r="DM127" s="33"/>
      <c r="DN127" s="11"/>
      <c r="DO127" s="12"/>
      <c r="DP127" s="12"/>
      <c r="DQ127" s="15"/>
      <c r="DR127" s="15"/>
      <c r="DS127" s="15"/>
      <c r="DT127" s="15"/>
      <c r="DU127" s="15"/>
      <c r="DV127" s="15"/>
      <c r="DW127" s="15"/>
      <c r="DX127" s="15"/>
      <c r="DY127" s="10"/>
      <c r="DZ127" s="33"/>
      <c r="EA127" s="33"/>
      <c r="EB127" s="33"/>
      <c r="EC127" s="33"/>
      <c r="ED127" s="11"/>
      <c r="EE127" s="12"/>
      <c r="EF127" s="12"/>
      <c r="EG127" s="15"/>
      <c r="EH127" s="15"/>
      <c r="EI127" s="15"/>
      <c r="EJ127" s="15"/>
      <c r="EK127" s="15"/>
      <c r="EL127" s="15"/>
      <c r="EM127" s="15"/>
      <c r="EN127" s="15"/>
      <c r="EO127" s="10"/>
      <c r="EP127" s="33"/>
      <c r="EQ127" s="33"/>
      <c r="ER127" s="33"/>
      <c r="ES127" s="33"/>
      <c r="ET127" s="11"/>
      <c r="EU127" s="12"/>
      <c r="EV127" s="12"/>
      <c r="EW127" s="15"/>
      <c r="EX127" s="15"/>
      <c r="EY127" s="15"/>
      <c r="EZ127" s="15"/>
      <c r="FA127" s="15"/>
      <c r="FB127" s="15"/>
      <c r="FC127" s="15"/>
      <c r="FD127" s="15"/>
      <c r="FE127" s="10"/>
      <c r="FF127" s="33"/>
      <c r="FG127" s="33"/>
      <c r="FH127" s="33"/>
      <c r="FI127" s="33"/>
      <c r="FJ127" s="11"/>
      <c r="FK127" s="12"/>
      <c r="FL127" s="12"/>
      <c r="FM127" s="15"/>
      <c r="FN127" s="15"/>
      <c r="FO127" s="15"/>
      <c r="FP127" s="15"/>
      <c r="FQ127" s="15"/>
      <c r="FR127" s="15"/>
      <c r="FS127" s="15"/>
      <c r="FT127" s="15"/>
      <c r="FU127" s="10"/>
      <c r="FV127" s="33"/>
      <c r="FW127" s="33"/>
      <c r="FX127" s="33"/>
      <c r="FY127" s="33"/>
      <c r="FZ127" s="11"/>
      <c r="GA127" s="12"/>
      <c r="GB127" s="12"/>
      <c r="GC127" s="15"/>
      <c r="GD127" s="15"/>
      <c r="GE127" s="15"/>
      <c r="GF127" s="15"/>
      <c r="GG127" s="15"/>
      <c r="GH127" s="15"/>
      <c r="GI127" s="15"/>
      <c r="GJ127" s="15"/>
      <c r="GK127" s="10"/>
      <c r="GL127" s="33"/>
      <c r="GM127" s="33"/>
      <c r="GN127" s="33"/>
      <c r="GO127" s="33"/>
      <c r="GP127" s="11"/>
      <c r="GQ127" s="12"/>
      <c r="GR127" s="12"/>
      <c r="GS127" s="15"/>
      <c r="GT127" s="15"/>
      <c r="GU127" s="15"/>
      <c r="GV127" s="15"/>
      <c r="GW127" s="15"/>
      <c r="GX127" s="15"/>
      <c r="GY127" s="15"/>
      <c r="GZ127" s="15"/>
      <c r="HA127" s="10"/>
      <c r="HB127" s="33"/>
      <c r="HC127" s="33"/>
      <c r="HD127" s="33"/>
      <c r="HE127" s="33"/>
      <c r="HF127" s="11"/>
      <c r="HG127" s="12"/>
      <c r="HH127" s="12"/>
      <c r="HI127" s="15"/>
      <c r="HJ127" s="15"/>
      <c r="HK127" s="15"/>
      <c r="HL127" s="15"/>
      <c r="HM127" s="15"/>
      <c r="HN127" s="15"/>
      <c r="HO127" s="15"/>
      <c r="HP127" s="15"/>
      <c r="HQ127" s="10"/>
      <c r="HR127" s="33"/>
      <c r="HS127" s="33"/>
      <c r="HT127" s="33"/>
      <c r="HU127" s="33"/>
      <c r="HV127" s="11"/>
      <c r="HW127" s="12"/>
      <c r="HX127" s="12"/>
      <c r="HY127" s="15"/>
      <c r="HZ127" s="15"/>
      <c r="IA127" s="15"/>
      <c r="IB127" s="15"/>
      <c r="IC127" s="15"/>
      <c r="ID127" s="15"/>
      <c r="IE127" s="15"/>
      <c r="IF127" s="15"/>
      <c r="IG127" s="10"/>
      <c r="IH127" s="33"/>
      <c r="II127" s="33"/>
      <c r="IJ127" s="33"/>
      <c r="IK127" s="33"/>
      <c r="IL127" s="11"/>
      <c r="IM127" s="12"/>
      <c r="IN127" s="12"/>
      <c r="IO127" s="15"/>
      <c r="IP127" s="15"/>
      <c r="IQ127" s="15"/>
      <c r="IR127" s="15"/>
      <c r="IS127" s="15"/>
      <c r="IT127" s="15"/>
      <c r="IU127" s="15"/>
      <c r="IV127" s="15"/>
    </row>
    <row r="128" spans="1:256" s="7" customFormat="1" ht="18.75" customHeight="1">
      <c r="A128" s="75"/>
      <c r="B128" s="74"/>
      <c r="C128" s="74"/>
      <c r="D128" s="74"/>
      <c r="E128" s="44"/>
      <c r="F128" s="72">
        <v>2020</v>
      </c>
      <c r="G128" s="38">
        <f t="shared" si="50"/>
        <v>426972.2</v>
      </c>
      <c r="H128" s="38">
        <f t="shared" si="51"/>
        <v>0</v>
      </c>
      <c r="I128" s="38">
        <f t="shared" si="57"/>
        <v>0</v>
      </c>
      <c r="J128" s="38">
        <f t="shared" si="57"/>
        <v>0</v>
      </c>
      <c r="K128" s="38">
        <f t="shared" si="57"/>
        <v>0</v>
      </c>
      <c r="L128" s="38">
        <f t="shared" si="57"/>
        <v>0</v>
      </c>
      <c r="M128" s="38">
        <f t="shared" si="57"/>
        <v>426972.2</v>
      </c>
      <c r="N128" s="38">
        <f t="shared" si="57"/>
        <v>0</v>
      </c>
      <c r="O128" s="38">
        <f t="shared" si="57"/>
        <v>0</v>
      </c>
      <c r="P128" s="38">
        <f t="shared" si="57"/>
        <v>0</v>
      </c>
      <c r="Q128" s="39"/>
      <c r="R128" s="68"/>
      <c r="S128" s="33"/>
      <c r="T128" s="33"/>
      <c r="U128" s="33"/>
      <c r="V128" s="11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0"/>
      <c r="AH128" s="33"/>
      <c r="AI128" s="33"/>
      <c r="AJ128" s="33"/>
      <c r="AK128" s="33"/>
      <c r="AL128" s="11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0"/>
      <c r="AX128" s="33"/>
      <c r="AY128" s="33"/>
      <c r="AZ128" s="33"/>
      <c r="BA128" s="33"/>
      <c r="BB128" s="11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0"/>
      <c r="BN128" s="33"/>
      <c r="BO128" s="33"/>
      <c r="BP128" s="33"/>
      <c r="BQ128" s="33"/>
      <c r="BR128" s="11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0"/>
      <c r="CD128" s="33"/>
      <c r="CE128" s="33"/>
      <c r="CF128" s="33"/>
      <c r="CG128" s="33"/>
      <c r="CH128" s="11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0"/>
      <c r="CT128" s="33"/>
      <c r="CU128" s="33"/>
      <c r="CV128" s="33"/>
      <c r="CW128" s="33"/>
      <c r="CX128" s="11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0"/>
      <c r="DJ128" s="33"/>
      <c r="DK128" s="33"/>
      <c r="DL128" s="33"/>
      <c r="DM128" s="33"/>
      <c r="DN128" s="11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0"/>
      <c r="DZ128" s="33"/>
      <c r="EA128" s="33"/>
      <c r="EB128" s="33"/>
      <c r="EC128" s="33"/>
      <c r="ED128" s="11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0"/>
      <c r="EP128" s="33"/>
      <c r="EQ128" s="33"/>
      <c r="ER128" s="33"/>
      <c r="ES128" s="33"/>
      <c r="ET128" s="11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0"/>
      <c r="FF128" s="33"/>
      <c r="FG128" s="33"/>
      <c r="FH128" s="33"/>
      <c r="FI128" s="33"/>
      <c r="FJ128" s="11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0"/>
      <c r="FV128" s="33"/>
      <c r="FW128" s="33"/>
      <c r="FX128" s="33"/>
      <c r="FY128" s="33"/>
      <c r="FZ128" s="11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0"/>
      <c r="GL128" s="33"/>
      <c r="GM128" s="33"/>
      <c r="GN128" s="33"/>
      <c r="GO128" s="33"/>
      <c r="GP128" s="11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0"/>
      <c r="HB128" s="33"/>
      <c r="HC128" s="33"/>
      <c r="HD128" s="33"/>
      <c r="HE128" s="33"/>
      <c r="HF128" s="11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0"/>
      <c r="HR128" s="33"/>
      <c r="HS128" s="33"/>
      <c r="HT128" s="33"/>
      <c r="HU128" s="33"/>
      <c r="HV128" s="11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0"/>
      <c r="IH128" s="33"/>
      <c r="II128" s="33"/>
      <c r="IJ128" s="33"/>
      <c r="IK128" s="33"/>
      <c r="IL128" s="11"/>
      <c r="IM128" s="12"/>
      <c r="IN128" s="12"/>
      <c r="IO128" s="12"/>
      <c r="IP128" s="12"/>
      <c r="IQ128" s="12"/>
      <c r="IR128" s="12"/>
      <c r="IS128" s="12"/>
      <c r="IT128" s="12"/>
      <c r="IU128" s="12"/>
      <c r="IV128" s="12"/>
    </row>
    <row r="129" spans="1:18" ht="18" customHeight="1">
      <c r="A129" s="75"/>
      <c r="B129" s="74" t="s">
        <v>374</v>
      </c>
      <c r="C129" s="74"/>
      <c r="D129" s="74"/>
      <c r="E129" s="44"/>
      <c r="F129" s="67" t="s">
        <v>98</v>
      </c>
      <c r="G129" s="40">
        <f>I129+K129+M129+O129</f>
        <v>10000</v>
      </c>
      <c r="H129" s="40">
        <f>J129+L129+N129+P129</f>
        <v>10000</v>
      </c>
      <c r="I129" s="40">
        <f>SUM(I130:I135)</f>
        <v>10000</v>
      </c>
      <c r="J129" s="40">
        <f aca="true" t="shared" si="59" ref="J129:P129">SUM(J130:J135)</f>
        <v>10000</v>
      </c>
      <c r="K129" s="40">
        <f t="shared" si="59"/>
        <v>0</v>
      </c>
      <c r="L129" s="40">
        <f t="shared" si="59"/>
        <v>0</v>
      </c>
      <c r="M129" s="40">
        <f t="shared" si="59"/>
        <v>0</v>
      </c>
      <c r="N129" s="40">
        <f t="shared" si="59"/>
        <v>0</v>
      </c>
      <c r="O129" s="40">
        <f t="shared" si="59"/>
        <v>0</v>
      </c>
      <c r="P129" s="40">
        <f t="shared" si="59"/>
        <v>0</v>
      </c>
      <c r="Q129" s="39"/>
      <c r="R129" s="68"/>
    </row>
    <row r="130" spans="1:18" ht="21.75" customHeight="1">
      <c r="A130" s="75"/>
      <c r="B130" s="74"/>
      <c r="C130" s="74"/>
      <c r="D130" s="74"/>
      <c r="E130" s="44"/>
      <c r="F130" s="72">
        <v>2015</v>
      </c>
      <c r="G130" s="38">
        <f aca="true" t="shared" si="60" ref="G130:G135">I130+K130+M130+O130</f>
        <v>0</v>
      </c>
      <c r="H130" s="38">
        <f t="shared" si="51"/>
        <v>0</v>
      </c>
      <c r="I130" s="38">
        <v>0</v>
      </c>
      <c r="J130" s="38">
        <v>0</v>
      </c>
      <c r="K130" s="38">
        <f aca="true" t="shared" si="61" ref="K130:P130">K143+K145+K152</f>
        <v>0</v>
      </c>
      <c r="L130" s="38">
        <f t="shared" si="61"/>
        <v>0</v>
      </c>
      <c r="M130" s="38">
        <f t="shared" si="61"/>
        <v>0</v>
      </c>
      <c r="N130" s="38">
        <f t="shared" si="61"/>
        <v>0</v>
      </c>
      <c r="O130" s="38">
        <f t="shared" si="61"/>
        <v>0</v>
      </c>
      <c r="P130" s="38">
        <f t="shared" si="61"/>
        <v>0</v>
      </c>
      <c r="Q130" s="39"/>
      <c r="R130" s="68"/>
    </row>
    <row r="131" spans="1:18" ht="19.5" customHeight="1">
      <c r="A131" s="75"/>
      <c r="B131" s="74"/>
      <c r="C131" s="74"/>
      <c r="D131" s="74"/>
      <c r="E131" s="44"/>
      <c r="F131" s="72">
        <v>2016</v>
      </c>
      <c r="G131" s="38">
        <f t="shared" si="60"/>
        <v>0</v>
      </c>
      <c r="H131" s="38">
        <f>J131+L131+N131+P131</f>
        <v>0</v>
      </c>
      <c r="I131" s="38">
        <v>0</v>
      </c>
      <c r="J131" s="38">
        <v>0</v>
      </c>
      <c r="K131" s="38">
        <f aca="true" t="shared" si="62" ref="K131:P131">K146+K144+K149+K153+K150</f>
        <v>0</v>
      </c>
      <c r="L131" s="38">
        <f t="shared" si="62"/>
        <v>0</v>
      </c>
      <c r="M131" s="38">
        <v>0</v>
      </c>
      <c r="N131" s="38">
        <v>0</v>
      </c>
      <c r="O131" s="38">
        <f t="shared" si="62"/>
        <v>0</v>
      </c>
      <c r="P131" s="38">
        <f t="shared" si="62"/>
        <v>0</v>
      </c>
      <c r="Q131" s="39"/>
      <c r="R131" s="68"/>
    </row>
    <row r="132" spans="1:18" ht="18.75" customHeight="1">
      <c r="A132" s="75"/>
      <c r="B132" s="74"/>
      <c r="C132" s="74"/>
      <c r="D132" s="74"/>
      <c r="E132" s="44"/>
      <c r="F132" s="72">
        <v>2017</v>
      </c>
      <c r="G132" s="38">
        <f t="shared" si="60"/>
        <v>10000</v>
      </c>
      <c r="H132" s="38">
        <f>J132+L132+N132+P132</f>
        <v>10000</v>
      </c>
      <c r="I132" s="38">
        <f aca="true" t="shared" si="63" ref="I132:P132">I107</f>
        <v>10000</v>
      </c>
      <c r="J132" s="38">
        <f t="shared" si="63"/>
        <v>10000</v>
      </c>
      <c r="K132" s="38">
        <f t="shared" si="63"/>
        <v>0</v>
      </c>
      <c r="L132" s="38">
        <f t="shared" si="63"/>
        <v>0</v>
      </c>
      <c r="M132" s="38">
        <f t="shared" si="63"/>
        <v>0</v>
      </c>
      <c r="N132" s="38">
        <f t="shared" si="63"/>
        <v>0</v>
      </c>
      <c r="O132" s="38">
        <f t="shared" si="63"/>
        <v>0</v>
      </c>
      <c r="P132" s="38">
        <f t="shared" si="63"/>
        <v>0</v>
      </c>
      <c r="Q132" s="39"/>
      <c r="R132" s="68"/>
    </row>
    <row r="133" spans="1:18" ht="17.25" customHeight="1">
      <c r="A133" s="75"/>
      <c r="B133" s="74"/>
      <c r="C133" s="74"/>
      <c r="D133" s="74"/>
      <c r="E133" s="44"/>
      <c r="F133" s="72">
        <v>2018</v>
      </c>
      <c r="G133" s="38">
        <f t="shared" si="60"/>
        <v>0</v>
      </c>
      <c r="H133" s="38">
        <f>J133+L133+N133+P133</f>
        <v>0</v>
      </c>
      <c r="I133" s="38">
        <v>0</v>
      </c>
      <c r="J133" s="38">
        <f aca="true" t="shared" si="64" ref="J133:P133">J172+J175</f>
        <v>0</v>
      </c>
      <c r="K133" s="38">
        <f t="shared" si="64"/>
        <v>0</v>
      </c>
      <c r="L133" s="38">
        <f t="shared" si="64"/>
        <v>0</v>
      </c>
      <c r="M133" s="38">
        <f t="shared" si="64"/>
        <v>0</v>
      </c>
      <c r="N133" s="38">
        <f t="shared" si="64"/>
        <v>0</v>
      </c>
      <c r="O133" s="38">
        <f t="shared" si="64"/>
        <v>0</v>
      </c>
      <c r="P133" s="38">
        <f t="shared" si="64"/>
        <v>0</v>
      </c>
      <c r="Q133" s="39"/>
      <c r="R133" s="68"/>
    </row>
    <row r="134" spans="1:18" ht="19.5" customHeight="1">
      <c r="A134" s="75"/>
      <c r="B134" s="74"/>
      <c r="C134" s="74"/>
      <c r="D134" s="74"/>
      <c r="E134" s="44"/>
      <c r="F134" s="72">
        <v>2019</v>
      </c>
      <c r="G134" s="38">
        <f t="shared" si="60"/>
        <v>0</v>
      </c>
      <c r="H134" s="38">
        <f>J134+L134+N134+P134</f>
        <v>0</v>
      </c>
      <c r="I134" s="41">
        <v>0</v>
      </c>
      <c r="J134" s="41">
        <v>0</v>
      </c>
      <c r="K134" s="41">
        <f aca="true" t="shared" si="65" ref="K134:P134">K173</f>
        <v>0</v>
      </c>
      <c r="L134" s="41">
        <f t="shared" si="65"/>
        <v>0</v>
      </c>
      <c r="M134" s="41">
        <f t="shared" si="65"/>
        <v>0</v>
      </c>
      <c r="N134" s="41">
        <f t="shared" si="65"/>
        <v>0</v>
      </c>
      <c r="O134" s="41">
        <f t="shared" si="65"/>
        <v>0</v>
      </c>
      <c r="P134" s="41">
        <f t="shared" si="65"/>
        <v>0</v>
      </c>
      <c r="Q134" s="39"/>
      <c r="R134" s="68"/>
    </row>
    <row r="135" spans="1:18" ht="18" customHeight="1">
      <c r="A135" s="106"/>
      <c r="B135" s="74"/>
      <c r="C135" s="74"/>
      <c r="D135" s="74"/>
      <c r="E135" s="44"/>
      <c r="F135" s="72">
        <v>2020</v>
      </c>
      <c r="G135" s="38">
        <f t="shared" si="60"/>
        <v>0</v>
      </c>
      <c r="H135" s="38">
        <f>J135+L135+N135+P135</f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39"/>
      <c r="R135" s="68"/>
    </row>
    <row r="136" spans="1:18" s="16" customFormat="1" ht="66" customHeight="1">
      <c r="A136" s="61" t="s">
        <v>136</v>
      </c>
      <c r="B136" s="61"/>
      <c r="C136" s="61"/>
      <c r="D136" s="61"/>
      <c r="E136" s="61"/>
      <c r="F136" s="61"/>
      <c r="G136" s="43"/>
      <c r="H136" s="43"/>
      <c r="I136" s="44"/>
      <c r="J136" s="44"/>
      <c r="K136" s="44"/>
      <c r="L136" s="44"/>
      <c r="M136" s="44"/>
      <c r="N136" s="44"/>
      <c r="O136" s="44"/>
      <c r="P136" s="44"/>
      <c r="Q136" s="45"/>
      <c r="R136" s="68"/>
    </row>
    <row r="137" spans="1:18" s="7" customFormat="1" ht="29.25" customHeight="1">
      <c r="A137" s="63" t="s">
        <v>253</v>
      </c>
      <c r="B137" s="74" t="s">
        <v>110</v>
      </c>
      <c r="C137" s="74"/>
      <c r="D137" s="74"/>
      <c r="E137" s="44"/>
      <c r="F137" s="67" t="s">
        <v>98</v>
      </c>
      <c r="G137" s="40">
        <f aca="true" t="shared" si="66" ref="G137:P137">G144+G151</f>
        <v>506656</v>
      </c>
      <c r="H137" s="40">
        <f t="shared" si="66"/>
        <v>190637.3</v>
      </c>
      <c r="I137" s="40">
        <f t="shared" si="66"/>
        <v>424117</v>
      </c>
      <c r="J137" s="40">
        <f t="shared" si="66"/>
        <v>183098.3</v>
      </c>
      <c r="K137" s="40">
        <f t="shared" si="66"/>
        <v>0</v>
      </c>
      <c r="L137" s="40">
        <f t="shared" si="66"/>
        <v>0</v>
      </c>
      <c r="M137" s="40">
        <f t="shared" si="66"/>
        <v>82539</v>
      </c>
      <c r="N137" s="40">
        <f t="shared" si="66"/>
        <v>7539</v>
      </c>
      <c r="O137" s="40">
        <f t="shared" si="66"/>
        <v>0</v>
      </c>
      <c r="P137" s="40">
        <f t="shared" si="66"/>
        <v>0</v>
      </c>
      <c r="Q137" s="39"/>
      <c r="R137" s="68"/>
    </row>
    <row r="138" spans="1:18" s="7" customFormat="1" ht="22.5" customHeight="1">
      <c r="A138" s="63"/>
      <c r="B138" s="74"/>
      <c r="C138" s="74"/>
      <c r="D138" s="74"/>
      <c r="E138" s="44"/>
      <c r="F138" s="72">
        <v>2015</v>
      </c>
      <c r="G138" s="38">
        <f aca="true" t="shared" si="67" ref="G138:P138">G145+G152</f>
        <v>49965.1</v>
      </c>
      <c r="H138" s="38">
        <f t="shared" si="67"/>
        <v>49965.1</v>
      </c>
      <c r="I138" s="38">
        <f>I145+I152</f>
        <v>49965.1</v>
      </c>
      <c r="J138" s="38">
        <f t="shared" si="67"/>
        <v>49965.1</v>
      </c>
      <c r="K138" s="38">
        <f t="shared" si="67"/>
        <v>0</v>
      </c>
      <c r="L138" s="38">
        <f t="shared" si="67"/>
        <v>0</v>
      </c>
      <c r="M138" s="38">
        <f t="shared" si="67"/>
        <v>0</v>
      </c>
      <c r="N138" s="38">
        <f t="shared" si="67"/>
        <v>0</v>
      </c>
      <c r="O138" s="38">
        <f t="shared" si="67"/>
        <v>0</v>
      </c>
      <c r="P138" s="38">
        <f t="shared" si="67"/>
        <v>0</v>
      </c>
      <c r="Q138" s="39"/>
      <c r="R138" s="68"/>
    </row>
    <row r="139" spans="1:18" s="7" customFormat="1" ht="20.25" customHeight="1">
      <c r="A139" s="63"/>
      <c r="B139" s="74"/>
      <c r="C139" s="74"/>
      <c r="D139" s="74"/>
      <c r="E139" s="44"/>
      <c r="F139" s="72">
        <v>2016</v>
      </c>
      <c r="G139" s="38">
        <f aca="true" t="shared" si="68" ref="G139:P139">G146+G153</f>
        <v>11729.099999999999</v>
      </c>
      <c r="H139" s="38">
        <f t="shared" si="68"/>
        <v>11729.099999999999</v>
      </c>
      <c r="I139" s="38">
        <f>I146+I153</f>
        <v>7529.1</v>
      </c>
      <c r="J139" s="38">
        <f>J146+J153</f>
        <v>7529.1</v>
      </c>
      <c r="K139" s="38">
        <f t="shared" si="68"/>
        <v>0</v>
      </c>
      <c r="L139" s="38">
        <f t="shared" si="68"/>
        <v>0</v>
      </c>
      <c r="M139" s="38">
        <f t="shared" si="68"/>
        <v>4200</v>
      </c>
      <c r="N139" s="38">
        <f t="shared" si="68"/>
        <v>4200</v>
      </c>
      <c r="O139" s="38">
        <f t="shared" si="68"/>
        <v>0</v>
      </c>
      <c r="P139" s="38">
        <f t="shared" si="68"/>
        <v>0</v>
      </c>
      <c r="Q139" s="39"/>
      <c r="R139" s="68"/>
    </row>
    <row r="140" spans="1:18" s="7" customFormat="1" ht="21.75" customHeight="1">
      <c r="A140" s="63"/>
      <c r="B140" s="74"/>
      <c r="C140" s="74"/>
      <c r="D140" s="74"/>
      <c r="E140" s="44"/>
      <c r="F140" s="72">
        <v>2017</v>
      </c>
      <c r="G140" s="38">
        <f aca="true" t="shared" si="69" ref="G140:H143">G147+G154</f>
        <v>128943.09999999999</v>
      </c>
      <c r="H140" s="38">
        <f t="shared" si="69"/>
        <v>128943.09999999999</v>
      </c>
      <c r="I140" s="38">
        <f aca="true" t="shared" si="70" ref="I140:P140">I147+I154</f>
        <v>125604.09999999999</v>
      </c>
      <c r="J140" s="38">
        <f t="shared" si="70"/>
        <v>125604.09999999999</v>
      </c>
      <c r="K140" s="38">
        <f t="shared" si="70"/>
        <v>0</v>
      </c>
      <c r="L140" s="38">
        <f t="shared" si="70"/>
        <v>0</v>
      </c>
      <c r="M140" s="38">
        <f t="shared" si="70"/>
        <v>3339</v>
      </c>
      <c r="N140" s="38">
        <f t="shared" si="70"/>
        <v>3339</v>
      </c>
      <c r="O140" s="38">
        <f t="shared" si="70"/>
        <v>0</v>
      </c>
      <c r="P140" s="38">
        <f t="shared" si="70"/>
        <v>0</v>
      </c>
      <c r="Q140" s="39"/>
      <c r="R140" s="68"/>
    </row>
    <row r="141" spans="1:18" ht="24" customHeight="1">
      <c r="A141" s="63"/>
      <c r="B141" s="74"/>
      <c r="C141" s="74"/>
      <c r="D141" s="74"/>
      <c r="E141" s="44"/>
      <c r="F141" s="72">
        <v>2018</v>
      </c>
      <c r="G141" s="38">
        <f t="shared" si="69"/>
        <v>130246.6</v>
      </c>
      <c r="H141" s="38">
        <f t="shared" si="69"/>
        <v>0</v>
      </c>
      <c r="I141" s="38">
        <f aca="true" t="shared" si="71" ref="I141:P141">I148+I155</f>
        <v>130246.6</v>
      </c>
      <c r="J141" s="38">
        <f t="shared" si="71"/>
        <v>0</v>
      </c>
      <c r="K141" s="38">
        <f t="shared" si="71"/>
        <v>0</v>
      </c>
      <c r="L141" s="38">
        <f t="shared" si="71"/>
        <v>0</v>
      </c>
      <c r="M141" s="38">
        <f t="shared" si="71"/>
        <v>0</v>
      </c>
      <c r="N141" s="38">
        <f t="shared" si="71"/>
        <v>0</v>
      </c>
      <c r="O141" s="38">
        <f t="shared" si="71"/>
        <v>0</v>
      </c>
      <c r="P141" s="38">
        <f t="shared" si="71"/>
        <v>0</v>
      </c>
      <c r="Q141" s="39"/>
      <c r="R141" s="68"/>
    </row>
    <row r="142" spans="1:18" ht="18" customHeight="1">
      <c r="A142" s="63"/>
      <c r="B142" s="74"/>
      <c r="C142" s="74"/>
      <c r="D142" s="74"/>
      <c r="E142" s="44"/>
      <c r="F142" s="72">
        <v>2019</v>
      </c>
      <c r="G142" s="38">
        <f t="shared" si="69"/>
        <v>185772.1</v>
      </c>
      <c r="H142" s="38">
        <f t="shared" si="69"/>
        <v>0</v>
      </c>
      <c r="I142" s="38">
        <f aca="true" t="shared" si="72" ref="I142:P142">I149+I156</f>
        <v>110772.1</v>
      </c>
      <c r="J142" s="38">
        <f t="shared" si="72"/>
        <v>0</v>
      </c>
      <c r="K142" s="38">
        <f t="shared" si="72"/>
        <v>0</v>
      </c>
      <c r="L142" s="38">
        <f t="shared" si="72"/>
        <v>0</v>
      </c>
      <c r="M142" s="38">
        <f t="shared" si="72"/>
        <v>75000</v>
      </c>
      <c r="N142" s="38">
        <f t="shared" si="72"/>
        <v>0</v>
      </c>
      <c r="O142" s="38">
        <f t="shared" si="72"/>
        <v>0</v>
      </c>
      <c r="P142" s="38">
        <f t="shared" si="72"/>
        <v>0</v>
      </c>
      <c r="Q142" s="39"/>
      <c r="R142" s="68"/>
    </row>
    <row r="143" spans="1:18" ht="21.75" customHeight="1">
      <c r="A143" s="63"/>
      <c r="B143" s="74"/>
      <c r="C143" s="74"/>
      <c r="D143" s="74"/>
      <c r="E143" s="44"/>
      <c r="F143" s="72">
        <v>2020</v>
      </c>
      <c r="G143" s="38">
        <f t="shared" si="69"/>
        <v>0</v>
      </c>
      <c r="H143" s="38">
        <f t="shared" si="69"/>
        <v>0</v>
      </c>
      <c r="I143" s="38">
        <f aca="true" t="shared" si="73" ref="I143:P143">I150+I157</f>
        <v>0</v>
      </c>
      <c r="J143" s="38">
        <f t="shared" si="73"/>
        <v>0</v>
      </c>
      <c r="K143" s="38">
        <f t="shared" si="73"/>
        <v>0</v>
      </c>
      <c r="L143" s="38">
        <f t="shared" si="73"/>
        <v>0</v>
      </c>
      <c r="M143" s="38">
        <f t="shared" si="73"/>
        <v>0</v>
      </c>
      <c r="N143" s="38">
        <f t="shared" si="73"/>
        <v>0</v>
      </c>
      <c r="O143" s="38">
        <f t="shared" si="73"/>
        <v>0</v>
      </c>
      <c r="P143" s="38">
        <f t="shared" si="73"/>
        <v>0</v>
      </c>
      <c r="Q143" s="39"/>
      <c r="R143" s="68"/>
    </row>
    <row r="144" spans="1:18" ht="19.5" customHeight="1">
      <c r="A144" s="63"/>
      <c r="B144" s="74" t="s">
        <v>189</v>
      </c>
      <c r="C144" s="74"/>
      <c r="D144" s="74"/>
      <c r="E144" s="44"/>
      <c r="F144" s="67" t="s">
        <v>98</v>
      </c>
      <c r="G144" s="40">
        <f aca="true" t="shared" si="74" ref="G144:G160">I144+K144+M144+O144</f>
        <v>53525.4</v>
      </c>
      <c r="H144" s="40">
        <f aca="true" t="shared" si="75" ref="H144:H160">J144+L144+N144+P144</f>
        <v>16851.4</v>
      </c>
      <c r="I144" s="40">
        <f aca="true" t="shared" si="76" ref="I144:P144">SUM(I145:I150)</f>
        <v>45986.4</v>
      </c>
      <c r="J144" s="40">
        <f t="shared" si="76"/>
        <v>9312.4</v>
      </c>
      <c r="K144" s="40">
        <f t="shared" si="76"/>
        <v>0</v>
      </c>
      <c r="L144" s="40">
        <f t="shared" si="76"/>
        <v>0</v>
      </c>
      <c r="M144" s="40">
        <f t="shared" si="76"/>
        <v>7539</v>
      </c>
      <c r="N144" s="40">
        <f t="shared" si="76"/>
        <v>7539</v>
      </c>
      <c r="O144" s="40">
        <f t="shared" si="76"/>
        <v>0</v>
      </c>
      <c r="P144" s="40">
        <f t="shared" si="76"/>
        <v>0</v>
      </c>
      <c r="Q144" s="39"/>
      <c r="R144" s="68"/>
    </row>
    <row r="145" spans="1:18" ht="20.25" customHeight="1">
      <c r="A145" s="63"/>
      <c r="B145" s="74"/>
      <c r="C145" s="74"/>
      <c r="D145" s="74"/>
      <c r="E145" s="44"/>
      <c r="F145" s="72">
        <v>2015</v>
      </c>
      <c r="G145" s="38">
        <f t="shared" si="74"/>
        <v>446.20000000000005</v>
      </c>
      <c r="H145" s="38">
        <f t="shared" si="75"/>
        <v>446.20000000000005</v>
      </c>
      <c r="I145" s="38">
        <f aca="true" t="shared" si="77" ref="I145:P145">I160+I165</f>
        <v>446.20000000000005</v>
      </c>
      <c r="J145" s="38">
        <f t="shared" si="77"/>
        <v>446.20000000000005</v>
      </c>
      <c r="K145" s="38">
        <f t="shared" si="77"/>
        <v>0</v>
      </c>
      <c r="L145" s="38">
        <f t="shared" si="77"/>
        <v>0</v>
      </c>
      <c r="M145" s="38">
        <f t="shared" si="77"/>
        <v>0</v>
      </c>
      <c r="N145" s="38">
        <f t="shared" si="77"/>
        <v>0</v>
      </c>
      <c r="O145" s="38">
        <f t="shared" si="77"/>
        <v>0</v>
      </c>
      <c r="P145" s="38">
        <f t="shared" si="77"/>
        <v>0</v>
      </c>
      <c r="Q145" s="39"/>
      <c r="R145" s="68"/>
    </row>
    <row r="146" spans="1:18" ht="19.5" customHeight="1">
      <c r="A146" s="63"/>
      <c r="B146" s="74"/>
      <c r="C146" s="74"/>
      <c r="D146" s="74"/>
      <c r="E146" s="44"/>
      <c r="F146" s="72">
        <v>2016</v>
      </c>
      <c r="G146" s="38">
        <f t="shared" si="74"/>
        <v>9039.8</v>
      </c>
      <c r="H146" s="38">
        <f t="shared" si="75"/>
        <v>9039.8</v>
      </c>
      <c r="I146" s="38">
        <f aca="true" t="shared" si="78" ref="I146:P146">I161+I158+I173+I182</f>
        <v>4839.8</v>
      </c>
      <c r="J146" s="38">
        <f t="shared" si="78"/>
        <v>4839.8</v>
      </c>
      <c r="K146" s="38">
        <f t="shared" si="78"/>
        <v>0</v>
      </c>
      <c r="L146" s="38">
        <f t="shared" si="78"/>
        <v>0</v>
      </c>
      <c r="M146" s="38">
        <f t="shared" si="78"/>
        <v>4200</v>
      </c>
      <c r="N146" s="38">
        <f t="shared" si="78"/>
        <v>4200</v>
      </c>
      <c r="O146" s="38">
        <f t="shared" si="78"/>
        <v>0</v>
      </c>
      <c r="P146" s="38">
        <f t="shared" si="78"/>
        <v>0</v>
      </c>
      <c r="Q146" s="39"/>
      <c r="R146" s="68"/>
    </row>
    <row r="147" spans="1:18" ht="21.75" customHeight="1">
      <c r="A147" s="63"/>
      <c r="B147" s="74"/>
      <c r="C147" s="74"/>
      <c r="D147" s="74"/>
      <c r="E147" s="44"/>
      <c r="F147" s="72">
        <v>2017</v>
      </c>
      <c r="G147" s="38">
        <f t="shared" si="74"/>
        <v>7365.4</v>
      </c>
      <c r="H147" s="38">
        <f t="shared" si="75"/>
        <v>7365.4</v>
      </c>
      <c r="I147" s="38">
        <f>I159+I183</f>
        <v>4026.4</v>
      </c>
      <c r="J147" s="38">
        <f aca="true" t="shared" si="79" ref="J147:P147">J159+J183</f>
        <v>4026.4</v>
      </c>
      <c r="K147" s="38">
        <f t="shared" si="79"/>
        <v>0</v>
      </c>
      <c r="L147" s="38">
        <f t="shared" si="79"/>
        <v>0</v>
      </c>
      <c r="M147" s="38">
        <f t="shared" si="79"/>
        <v>3339</v>
      </c>
      <c r="N147" s="38">
        <f t="shared" si="79"/>
        <v>3339</v>
      </c>
      <c r="O147" s="38">
        <f t="shared" si="79"/>
        <v>0</v>
      </c>
      <c r="P147" s="38">
        <f t="shared" si="79"/>
        <v>0</v>
      </c>
      <c r="Q147" s="39"/>
      <c r="R147" s="68"/>
    </row>
    <row r="148" spans="1:18" ht="21.75" customHeight="1">
      <c r="A148" s="63"/>
      <c r="B148" s="74"/>
      <c r="C148" s="74"/>
      <c r="D148" s="74"/>
      <c r="E148" s="44"/>
      <c r="F148" s="72">
        <v>2018</v>
      </c>
      <c r="G148" s="38">
        <f t="shared" si="74"/>
        <v>36674</v>
      </c>
      <c r="H148" s="38">
        <f t="shared" si="75"/>
        <v>0</v>
      </c>
      <c r="I148" s="38">
        <f>I181+I179+I171+I172+I174+I166+I167+I168+I169+I170+I177</f>
        <v>36674</v>
      </c>
      <c r="J148" s="38">
        <f aca="true" t="shared" si="80" ref="J148:P148">J181+J179+J171+J172+J174+J166+J167+J168+J169+J170+J177</f>
        <v>0</v>
      </c>
      <c r="K148" s="38">
        <f t="shared" si="80"/>
        <v>0</v>
      </c>
      <c r="L148" s="38">
        <f t="shared" si="80"/>
        <v>0</v>
      </c>
      <c r="M148" s="38">
        <f t="shared" si="80"/>
        <v>0</v>
      </c>
      <c r="N148" s="38">
        <f t="shared" si="80"/>
        <v>0</v>
      </c>
      <c r="O148" s="38">
        <f t="shared" si="80"/>
        <v>0</v>
      </c>
      <c r="P148" s="38">
        <f t="shared" si="80"/>
        <v>0</v>
      </c>
      <c r="Q148" s="39"/>
      <c r="R148" s="68"/>
    </row>
    <row r="149" spans="1:18" ht="18.75" customHeight="1">
      <c r="A149" s="63"/>
      <c r="B149" s="74"/>
      <c r="C149" s="74"/>
      <c r="D149" s="74"/>
      <c r="E149" s="44"/>
      <c r="F149" s="72">
        <v>2019</v>
      </c>
      <c r="G149" s="38">
        <f t="shared" si="74"/>
        <v>0</v>
      </c>
      <c r="H149" s="38">
        <f t="shared" si="75"/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9"/>
      <c r="R149" s="68"/>
    </row>
    <row r="150" spans="1:18" ht="20.25" customHeight="1">
      <c r="A150" s="63"/>
      <c r="B150" s="74"/>
      <c r="C150" s="74"/>
      <c r="D150" s="74"/>
      <c r="E150" s="44"/>
      <c r="F150" s="72">
        <v>2020</v>
      </c>
      <c r="G150" s="38">
        <f t="shared" si="74"/>
        <v>0</v>
      </c>
      <c r="H150" s="38">
        <f t="shared" si="75"/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9"/>
      <c r="R150" s="68"/>
    </row>
    <row r="151" spans="1:18" ht="18" customHeight="1">
      <c r="A151" s="63"/>
      <c r="B151" s="74" t="s">
        <v>123</v>
      </c>
      <c r="C151" s="74"/>
      <c r="D151" s="74"/>
      <c r="E151" s="44"/>
      <c r="F151" s="67" t="s">
        <v>98</v>
      </c>
      <c r="G151" s="40">
        <f t="shared" si="74"/>
        <v>453130.6</v>
      </c>
      <c r="H151" s="40">
        <f t="shared" si="75"/>
        <v>173785.9</v>
      </c>
      <c r="I151" s="40">
        <f aca="true" t="shared" si="81" ref="I151:P151">SUM(I152:I157)</f>
        <v>378130.6</v>
      </c>
      <c r="J151" s="40">
        <f t="shared" si="81"/>
        <v>173785.9</v>
      </c>
      <c r="K151" s="40">
        <f t="shared" si="81"/>
        <v>0</v>
      </c>
      <c r="L151" s="40">
        <f t="shared" si="81"/>
        <v>0</v>
      </c>
      <c r="M151" s="40">
        <f t="shared" si="81"/>
        <v>75000</v>
      </c>
      <c r="N151" s="40">
        <f t="shared" si="81"/>
        <v>0</v>
      </c>
      <c r="O151" s="40">
        <f t="shared" si="81"/>
        <v>0</v>
      </c>
      <c r="P151" s="40">
        <f t="shared" si="81"/>
        <v>0</v>
      </c>
      <c r="Q151" s="39"/>
      <c r="R151" s="68"/>
    </row>
    <row r="152" spans="1:18" ht="21.75" customHeight="1">
      <c r="A152" s="63"/>
      <c r="B152" s="74"/>
      <c r="C152" s="74"/>
      <c r="D152" s="74"/>
      <c r="E152" s="44"/>
      <c r="F152" s="72">
        <v>2015</v>
      </c>
      <c r="G152" s="38">
        <f t="shared" si="74"/>
        <v>49518.9</v>
      </c>
      <c r="H152" s="38">
        <f t="shared" si="75"/>
        <v>49518.9</v>
      </c>
      <c r="I152" s="38">
        <f>I162</f>
        <v>49518.9</v>
      </c>
      <c r="J152" s="38">
        <f aca="true" t="shared" si="82" ref="J152:P152">J162</f>
        <v>49518.9</v>
      </c>
      <c r="K152" s="38">
        <f t="shared" si="82"/>
        <v>0</v>
      </c>
      <c r="L152" s="38">
        <f t="shared" si="82"/>
        <v>0</v>
      </c>
      <c r="M152" s="38">
        <f t="shared" si="82"/>
        <v>0</v>
      </c>
      <c r="N152" s="38">
        <f t="shared" si="82"/>
        <v>0</v>
      </c>
      <c r="O152" s="38">
        <f t="shared" si="82"/>
        <v>0</v>
      </c>
      <c r="P152" s="38">
        <f t="shared" si="82"/>
        <v>0</v>
      </c>
      <c r="Q152" s="39"/>
      <c r="R152" s="68"/>
    </row>
    <row r="153" spans="1:18" ht="19.5" customHeight="1">
      <c r="A153" s="63"/>
      <c r="B153" s="74"/>
      <c r="C153" s="74"/>
      <c r="D153" s="74"/>
      <c r="E153" s="44"/>
      <c r="F153" s="72">
        <v>2016</v>
      </c>
      <c r="G153" s="38">
        <f t="shared" si="74"/>
        <v>2689.3</v>
      </c>
      <c r="H153" s="38">
        <f t="shared" si="75"/>
        <v>2689.3</v>
      </c>
      <c r="I153" s="38">
        <f>I163</f>
        <v>2689.3</v>
      </c>
      <c r="J153" s="38">
        <f aca="true" t="shared" si="83" ref="J153:P153">J163</f>
        <v>2689.3</v>
      </c>
      <c r="K153" s="38">
        <f t="shared" si="83"/>
        <v>0</v>
      </c>
      <c r="L153" s="38">
        <f t="shared" si="83"/>
        <v>0</v>
      </c>
      <c r="M153" s="38">
        <f t="shared" si="83"/>
        <v>0</v>
      </c>
      <c r="N153" s="38">
        <f t="shared" si="83"/>
        <v>0</v>
      </c>
      <c r="O153" s="38">
        <f t="shared" si="83"/>
        <v>0</v>
      </c>
      <c r="P153" s="38">
        <f t="shared" si="83"/>
        <v>0</v>
      </c>
      <c r="Q153" s="39"/>
      <c r="R153" s="68"/>
    </row>
    <row r="154" spans="1:18" ht="18.75" customHeight="1">
      <c r="A154" s="63"/>
      <c r="B154" s="74"/>
      <c r="C154" s="74"/>
      <c r="D154" s="74"/>
      <c r="E154" s="44"/>
      <c r="F154" s="72">
        <v>2017</v>
      </c>
      <c r="G154" s="38">
        <f t="shared" si="74"/>
        <v>121577.7</v>
      </c>
      <c r="H154" s="38">
        <f t="shared" si="75"/>
        <v>121577.7</v>
      </c>
      <c r="I154" s="38">
        <f>I164</f>
        <v>121577.7</v>
      </c>
      <c r="J154" s="38">
        <f aca="true" t="shared" si="84" ref="J154:P154">J164</f>
        <v>121577.7</v>
      </c>
      <c r="K154" s="38">
        <f t="shared" si="84"/>
        <v>0</v>
      </c>
      <c r="L154" s="38">
        <f t="shared" si="84"/>
        <v>0</v>
      </c>
      <c r="M154" s="38">
        <f t="shared" si="84"/>
        <v>0</v>
      </c>
      <c r="N154" s="38">
        <f t="shared" si="84"/>
        <v>0</v>
      </c>
      <c r="O154" s="38">
        <f t="shared" si="84"/>
        <v>0</v>
      </c>
      <c r="P154" s="38">
        <f t="shared" si="84"/>
        <v>0</v>
      </c>
      <c r="Q154" s="39"/>
      <c r="R154" s="68"/>
    </row>
    <row r="155" spans="1:18" ht="17.25" customHeight="1">
      <c r="A155" s="63"/>
      <c r="B155" s="74"/>
      <c r="C155" s="74"/>
      <c r="D155" s="74"/>
      <c r="E155" s="44"/>
      <c r="F155" s="72">
        <v>2018</v>
      </c>
      <c r="G155" s="38">
        <f t="shared" si="74"/>
        <v>93572.6</v>
      </c>
      <c r="H155" s="38">
        <f t="shared" si="75"/>
        <v>0</v>
      </c>
      <c r="I155" s="38">
        <f>I180+I175</f>
        <v>93572.6</v>
      </c>
      <c r="J155" s="38">
        <f aca="true" t="shared" si="85" ref="J155:P155">J180+J175</f>
        <v>0</v>
      </c>
      <c r="K155" s="38">
        <f t="shared" si="85"/>
        <v>0</v>
      </c>
      <c r="L155" s="38">
        <f t="shared" si="85"/>
        <v>0</v>
      </c>
      <c r="M155" s="38">
        <f t="shared" si="85"/>
        <v>0</v>
      </c>
      <c r="N155" s="38">
        <f t="shared" si="85"/>
        <v>0</v>
      </c>
      <c r="O155" s="38">
        <f t="shared" si="85"/>
        <v>0</v>
      </c>
      <c r="P155" s="38">
        <f t="shared" si="85"/>
        <v>0</v>
      </c>
      <c r="Q155" s="39"/>
      <c r="R155" s="68"/>
    </row>
    <row r="156" spans="1:18" ht="19.5" customHeight="1">
      <c r="A156" s="63"/>
      <c r="B156" s="74"/>
      <c r="C156" s="74"/>
      <c r="D156" s="74"/>
      <c r="E156" s="44"/>
      <c r="F156" s="72">
        <v>2019</v>
      </c>
      <c r="G156" s="38">
        <f t="shared" si="74"/>
        <v>185772.1</v>
      </c>
      <c r="H156" s="38">
        <f t="shared" si="75"/>
        <v>0</v>
      </c>
      <c r="I156" s="46">
        <f>I176+I178</f>
        <v>110772.1</v>
      </c>
      <c r="J156" s="46">
        <f aca="true" t="shared" si="86" ref="J156:P156">J176+J178</f>
        <v>0</v>
      </c>
      <c r="K156" s="46">
        <f t="shared" si="86"/>
        <v>0</v>
      </c>
      <c r="L156" s="46">
        <f t="shared" si="86"/>
        <v>0</v>
      </c>
      <c r="M156" s="46">
        <f t="shared" si="86"/>
        <v>75000</v>
      </c>
      <c r="N156" s="46">
        <f t="shared" si="86"/>
        <v>0</v>
      </c>
      <c r="O156" s="46">
        <f t="shared" si="86"/>
        <v>0</v>
      </c>
      <c r="P156" s="46">
        <f t="shared" si="86"/>
        <v>0</v>
      </c>
      <c r="Q156" s="39"/>
      <c r="R156" s="68"/>
    </row>
    <row r="157" spans="1:18" ht="18" customHeight="1">
      <c r="A157" s="63"/>
      <c r="B157" s="74"/>
      <c r="C157" s="74"/>
      <c r="D157" s="74"/>
      <c r="E157" s="44"/>
      <c r="F157" s="72">
        <v>2020</v>
      </c>
      <c r="G157" s="38">
        <f t="shared" si="74"/>
        <v>0</v>
      </c>
      <c r="H157" s="38">
        <f t="shared" si="75"/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9"/>
      <c r="R157" s="68"/>
    </row>
    <row r="158" spans="1:18" ht="49.5" customHeight="1">
      <c r="A158" s="77" t="s">
        <v>254</v>
      </c>
      <c r="B158" s="78" t="s">
        <v>146</v>
      </c>
      <c r="C158" s="78">
        <v>0.08</v>
      </c>
      <c r="D158" s="78" t="s">
        <v>2</v>
      </c>
      <c r="E158" s="79" t="s">
        <v>247</v>
      </c>
      <c r="F158" s="79">
        <v>2016</v>
      </c>
      <c r="G158" s="38">
        <f t="shared" si="74"/>
        <v>353.9000000000001</v>
      </c>
      <c r="H158" s="38">
        <f t="shared" si="75"/>
        <v>353.9000000000001</v>
      </c>
      <c r="I158" s="47">
        <f>8087.2-4064.7-3668.6</f>
        <v>353.9000000000001</v>
      </c>
      <c r="J158" s="47">
        <f>8087.2-4064.7-3668.6</f>
        <v>353.9000000000001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8"/>
      <c r="R158" s="68"/>
    </row>
    <row r="159" spans="1:18" ht="49.5" customHeight="1">
      <c r="A159" s="82"/>
      <c r="B159" s="83"/>
      <c r="C159" s="83"/>
      <c r="D159" s="83"/>
      <c r="E159" s="79" t="s">
        <v>247</v>
      </c>
      <c r="F159" s="79">
        <v>2017</v>
      </c>
      <c r="G159" s="38">
        <f>I159+K159+M159+O159</f>
        <v>3668.6</v>
      </c>
      <c r="H159" s="38">
        <f>J159+L159+N159+P159</f>
        <v>3668.6</v>
      </c>
      <c r="I159" s="47">
        <v>3668.6</v>
      </c>
      <c r="J159" s="47">
        <v>3668.6</v>
      </c>
      <c r="K159" s="47">
        <v>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8"/>
      <c r="R159" s="68"/>
    </row>
    <row r="160" spans="1:18" ht="48" customHeight="1">
      <c r="A160" s="77" t="s">
        <v>243</v>
      </c>
      <c r="B160" s="78" t="s">
        <v>5</v>
      </c>
      <c r="C160" s="78">
        <v>1.3</v>
      </c>
      <c r="D160" s="72" t="s">
        <v>2</v>
      </c>
      <c r="E160" s="72"/>
      <c r="F160" s="72">
        <v>2015</v>
      </c>
      <c r="G160" s="38">
        <f t="shared" si="74"/>
        <v>348.00000000000006</v>
      </c>
      <c r="H160" s="38">
        <f t="shared" si="75"/>
        <v>348.00000000000006</v>
      </c>
      <c r="I160" s="47">
        <f>727.2-379.2</f>
        <v>348.00000000000006</v>
      </c>
      <c r="J160" s="47">
        <f>727.2-379.2</f>
        <v>348.00000000000006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8" t="s">
        <v>133</v>
      </c>
      <c r="R160" s="68"/>
    </row>
    <row r="161" spans="1:18" ht="48" customHeight="1">
      <c r="A161" s="80"/>
      <c r="B161" s="81"/>
      <c r="C161" s="81"/>
      <c r="D161" s="72" t="s">
        <v>2</v>
      </c>
      <c r="E161" s="72" t="s">
        <v>247</v>
      </c>
      <c r="F161" s="72">
        <v>2016</v>
      </c>
      <c r="G161" s="38">
        <f aca="true" t="shared" si="87" ref="G161:H167">I161+K161+M161+O161</f>
        <v>4005.9</v>
      </c>
      <c r="H161" s="38">
        <f t="shared" si="87"/>
        <v>4005.9</v>
      </c>
      <c r="I161" s="47">
        <v>4005.9</v>
      </c>
      <c r="J161" s="47">
        <v>4005.9</v>
      </c>
      <c r="K161" s="47">
        <v>0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8" t="s">
        <v>169</v>
      </c>
      <c r="R161" s="68"/>
    </row>
    <row r="162" spans="1:18" ht="55.5" customHeight="1">
      <c r="A162" s="80"/>
      <c r="B162" s="81"/>
      <c r="C162" s="81"/>
      <c r="D162" s="79" t="s">
        <v>3</v>
      </c>
      <c r="E162" s="79"/>
      <c r="F162" s="79">
        <v>2015</v>
      </c>
      <c r="G162" s="38">
        <f t="shared" si="87"/>
        <v>49518.9</v>
      </c>
      <c r="H162" s="38">
        <f t="shared" si="87"/>
        <v>49518.9</v>
      </c>
      <c r="I162" s="47">
        <v>49518.9</v>
      </c>
      <c r="J162" s="47">
        <v>49518.9</v>
      </c>
      <c r="K162" s="47">
        <v>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9"/>
      <c r="R162" s="68"/>
    </row>
    <row r="163" spans="1:18" ht="52.5" customHeight="1">
      <c r="A163" s="80"/>
      <c r="B163" s="81"/>
      <c r="C163" s="81"/>
      <c r="D163" s="79" t="s">
        <v>3</v>
      </c>
      <c r="E163" s="79" t="s">
        <v>247</v>
      </c>
      <c r="F163" s="79">
        <v>2016</v>
      </c>
      <c r="G163" s="38">
        <f t="shared" si="87"/>
        <v>2689.3</v>
      </c>
      <c r="H163" s="38">
        <f t="shared" si="87"/>
        <v>2689.3</v>
      </c>
      <c r="I163" s="47">
        <v>2689.3</v>
      </c>
      <c r="J163" s="47">
        <v>2689.3</v>
      </c>
      <c r="K163" s="47">
        <v>0</v>
      </c>
      <c r="L163" s="47">
        <v>0</v>
      </c>
      <c r="M163" s="47">
        <v>0</v>
      </c>
      <c r="N163" s="47">
        <v>0</v>
      </c>
      <c r="O163" s="47">
        <v>0</v>
      </c>
      <c r="P163" s="47">
        <v>0</v>
      </c>
      <c r="Q163" s="49"/>
      <c r="R163" s="68"/>
    </row>
    <row r="164" spans="1:18" ht="52.5" customHeight="1">
      <c r="A164" s="82"/>
      <c r="B164" s="83"/>
      <c r="C164" s="83"/>
      <c r="D164" s="79" t="s">
        <v>3</v>
      </c>
      <c r="E164" s="79" t="s">
        <v>247</v>
      </c>
      <c r="F164" s="79">
        <v>2017</v>
      </c>
      <c r="G164" s="38">
        <f>I164+K164+M164+O164</f>
        <v>121577.7</v>
      </c>
      <c r="H164" s="38">
        <f>J164+L164+N164+P164</f>
        <v>121577.7</v>
      </c>
      <c r="I164" s="47">
        <v>121577.7</v>
      </c>
      <c r="J164" s="47">
        <v>121577.7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8"/>
      <c r="R164" s="68"/>
    </row>
    <row r="165" spans="1:18" ht="47.25" customHeight="1">
      <c r="A165" s="92" t="s">
        <v>255</v>
      </c>
      <c r="B165" s="93" t="s">
        <v>29</v>
      </c>
      <c r="C165" s="93">
        <v>2.5</v>
      </c>
      <c r="D165" s="79" t="s">
        <v>2</v>
      </c>
      <c r="E165" s="79"/>
      <c r="F165" s="79">
        <v>2015</v>
      </c>
      <c r="G165" s="38">
        <f t="shared" si="87"/>
        <v>98.2</v>
      </c>
      <c r="H165" s="38">
        <f t="shared" si="87"/>
        <v>98.2</v>
      </c>
      <c r="I165" s="47">
        <f>98.5-0.3</f>
        <v>98.2</v>
      </c>
      <c r="J165" s="47">
        <f>98.5-0.3</f>
        <v>98.2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  <c r="P165" s="47">
        <v>0</v>
      </c>
      <c r="Q165" s="48" t="s">
        <v>181</v>
      </c>
      <c r="R165" s="68"/>
    </row>
    <row r="166" spans="1:18" ht="49.5" customHeight="1">
      <c r="A166" s="92"/>
      <c r="B166" s="93"/>
      <c r="C166" s="93"/>
      <c r="D166" s="79" t="s">
        <v>2</v>
      </c>
      <c r="E166" s="79"/>
      <c r="F166" s="79">
        <v>2018</v>
      </c>
      <c r="G166" s="38">
        <f t="shared" si="87"/>
        <v>7000</v>
      </c>
      <c r="H166" s="38">
        <f t="shared" si="87"/>
        <v>0</v>
      </c>
      <c r="I166" s="47">
        <v>7000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8" t="s">
        <v>27</v>
      </c>
      <c r="R166" s="68"/>
    </row>
    <row r="167" spans="1:18" ht="66.75" customHeight="1">
      <c r="A167" s="88" t="s">
        <v>256</v>
      </c>
      <c r="B167" s="79" t="s">
        <v>6</v>
      </c>
      <c r="C167" s="79">
        <v>0.137</v>
      </c>
      <c r="D167" s="79" t="s">
        <v>2</v>
      </c>
      <c r="E167" s="79"/>
      <c r="F167" s="79">
        <v>2018</v>
      </c>
      <c r="G167" s="38">
        <f t="shared" si="87"/>
        <v>300</v>
      </c>
      <c r="H167" s="38">
        <f t="shared" si="87"/>
        <v>0</v>
      </c>
      <c r="I167" s="47">
        <v>300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8" t="s">
        <v>27</v>
      </c>
      <c r="R167" s="68"/>
    </row>
    <row r="168" spans="1:18" ht="72" customHeight="1">
      <c r="A168" s="88" t="s">
        <v>257</v>
      </c>
      <c r="B168" s="79" t="s">
        <v>162</v>
      </c>
      <c r="C168" s="79">
        <v>0.832</v>
      </c>
      <c r="D168" s="79" t="s">
        <v>2</v>
      </c>
      <c r="E168" s="79"/>
      <c r="F168" s="79">
        <v>2018</v>
      </c>
      <c r="G168" s="38">
        <f aca="true" t="shared" si="88" ref="G168:G178">I168+K168+M168+O168</f>
        <v>1400</v>
      </c>
      <c r="H168" s="38">
        <f aca="true" t="shared" si="89" ref="H168:H178">J168+L168+N168+P168</f>
        <v>0</v>
      </c>
      <c r="I168" s="47">
        <v>1400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8" t="s">
        <v>166</v>
      </c>
      <c r="R168" s="68"/>
    </row>
    <row r="169" spans="1:18" ht="72" customHeight="1">
      <c r="A169" s="88" t="s">
        <v>258</v>
      </c>
      <c r="B169" s="79" t="s">
        <v>163</v>
      </c>
      <c r="C169" s="79">
        <v>0.399</v>
      </c>
      <c r="D169" s="79" t="s">
        <v>2</v>
      </c>
      <c r="E169" s="79"/>
      <c r="F169" s="79">
        <v>2018</v>
      </c>
      <c r="G169" s="38">
        <f t="shared" si="88"/>
        <v>650</v>
      </c>
      <c r="H169" s="38">
        <f t="shared" si="89"/>
        <v>0</v>
      </c>
      <c r="I169" s="47">
        <v>650</v>
      </c>
      <c r="J169" s="47">
        <v>0</v>
      </c>
      <c r="K169" s="47"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8" t="s">
        <v>167</v>
      </c>
      <c r="R169" s="68"/>
    </row>
    <row r="170" spans="1:18" ht="60" customHeight="1">
      <c r="A170" s="88" t="s">
        <v>259</v>
      </c>
      <c r="B170" s="79" t="s">
        <v>84</v>
      </c>
      <c r="C170" s="79">
        <v>0.873</v>
      </c>
      <c r="D170" s="79" t="s">
        <v>2</v>
      </c>
      <c r="E170" s="79"/>
      <c r="F170" s="79">
        <v>2018</v>
      </c>
      <c r="G170" s="38">
        <f t="shared" si="88"/>
        <v>8024</v>
      </c>
      <c r="H170" s="38">
        <f t="shared" si="89"/>
        <v>0</v>
      </c>
      <c r="I170" s="47">
        <v>8024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0</v>
      </c>
      <c r="Q170" s="48" t="s">
        <v>27</v>
      </c>
      <c r="R170" s="68"/>
    </row>
    <row r="171" spans="1:18" ht="99" customHeight="1">
      <c r="A171" s="88" t="s">
        <v>260</v>
      </c>
      <c r="B171" s="79" t="s">
        <v>205</v>
      </c>
      <c r="C171" s="79">
        <v>0.031</v>
      </c>
      <c r="D171" s="79" t="s">
        <v>2</v>
      </c>
      <c r="E171" s="79"/>
      <c r="F171" s="79">
        <v>2018</v>
      </c>
      <c r="G171" s="38">
        <f t="shared" si="88"/>
        <v>10000</v>
      </c>
      <c r="H171" s="38">
        <f t="shared" si="89"/>
        <v>0</v>
      </c>
      <c r="I171" s="47">
        <v>10000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0</v>
      </c>
      <c r="P171" s="47">
        <v>0</v>
      </c>
      <c r="Q171" s="48"/>
      <c r="R171" s="68"/>
    </row>
    <row r="172" spans="1:18" ht="99" customHeight="1">
      <c r="A172" s="88" t="s">
        <v>261</v>
      </c>
      <c r="B172" s="79" t="s">
        <v>222</v>
      </c>
      <c r="C172" s="79"/>
      <c r="D172" s="79" t="s">
        <v>2</v>
      </c>
      <c r="E172" s="79"/>
      <c r="F172" s="79">
        <v>2018</v>
      </c>
      <c r="G172" s="38">
        <f t="shared" si="88"/>
        <v>100</v>
      </c>
      <c r="H172" s="38">
        <f t="shared" si="89"/>
        <v>0</v>
      </c>
      <c r="I172" s="47">
        <v>100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0</v>
      </c>
      <c r="P172" s="47">
        <v>0</v>
      </c>
      <c r="Q172" s="48" t="s">
        <v>224</v>
      </c>
      <c r="R172" s="68"/>
    </row>
    <row r="173" spans="1:18" ht="66.75" customHeight="1">
      <c r="A173" s="77" t="s">
        <v>262</v>
      </c>
      <c r="B173" s="78" t="s">
        <v>234</v>
      </c>
      <c r="C173" s="78"/>
      <c r="D173" s="79" t="s">
        <v>238</v>
      </c>
      <c r="E173" s="79" t="s">
        <v>247</v>
      </c>
      <c r="F173" s="79">
        <v>2016</v>
      </c>
      <c r="G173" s="38">
        <f>I173+K173+M173+O173</f>
        <v>30</v>
      </c>
      <c r="H173" s="38">
        <f>J173+L173+N173+P173</f>
        <v>30</v>
      </c>
      <c r="I173" s="47">
        <v>30</v>
      </c>
      <c r="J173" s="47">
        <v>30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8" t="s">
        <v>235</v>
      </c>
      <c r="R173" s="68"/>
    </row>
    <row r="174" spans="1:18" ht="40.5" customHeight="1">
      <c r="A174" s="82"/>
      <c r="B174" s="83"/>
      <c r="C174" s="83"/>
      <c r="D174" s="79" t="s">
        <v>2</v>
      </c>
      <c r="E174" s="79"/>
      <c r="F174" s="79">
        <v>2018</v>
      </c>
      <c r="G174" s="38">
        <f t="shared" si="88"/>
        <v>150</v>
      </c>
      <c r="H174" s="38">
        <f t="shared" si="89"/>
        <v>0</v>
      </c>
      <c r="I174" s="47">
        <v>150</v>
      </c>
      <c r="J174" s="47">
        <v>0</v>
      </c>
      <c r="K174" s="47">
        <v>0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8" t="s">
        <v>223</v>
      </c>
      <c r="R174" s="68"/>
    </row>
    <row r="175" spans="1:18" ht="47.25" customHeight="1">
      <c r="A175" s="77" t="s">
        <v>263</v>
      </c>
      <c r="B175" s="78" t="s">
        <v>173</v>
      </c>
      <c r="C175" s="78">
        <v>0.436</v>
      </c>
      <c r="D175" s="79" t="s">
        <v>3</v>
      </c>
      <c r="E175" s="79"/>
      <c r="F175" s="79">
        <v>2018</v>
      </c>
      <c r="G175" s="38">
        <f t="shared" si="88"/>
        <v>85772</v>
      </c>
      <c r="H175" s="38">
        <f t="shared" si="89"/>
        <v>0</v>
      </c>
      <c r="I175" s="47">
        <v>85772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50" t="s">
        <v>390</v>
      </c>
      <c r="R175" s="68"/>
    </row>
    <row r="176" spans="1:18" ht="41.25" customHeight="1">
      <c r="A176" s="82"/>
      <c r="B176" s="83"/>
      <c r="C176" s="83"/>
      <c r="D176" s="79" t="s">
        <v>3</v>
      </c>
      <c r="E176" s="79"/>
      <c r="F176" s="79">
        <v>2019</v>
      </c>
      <c r="G176" s="38">
        <f t="shared" si="88"/>
        <v>85772.1</v>
      </c>
      <c r="H176" s="38">
        <f t="shared" si="89"/>
        <v>0</v>
      </c>
      <c r="I176" s="47">
        <v>85772.1</v>
      </c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51"/>
      <c r="R176" s="68"/>
    </row>
    <row r="177" spans="1:18" ht="45.75" customHeight="1">
      <c r="A177" s="92" t="s">
        <v>264</v>
      </c>
      <c r="B177" s="93" t="s">
        <v>30</v>
      </c>
      <c r="C177" s="93">
        <v>0.5</v>
      </c>
      <c r="D177" s="79" t="s">
        <v>2</v>
      </c>
      <c r="E177" s="79"/>
      <c r="F177" s="79">
        <v>2018</v>
      </c>
      <c r="G177" s="38">
        <f t="shared" si="88"/>
        <v>3000</v>
      </c>
      <c r="H177" s="38">
        <f t="shared" si="89"/>
        <v>0</v>
      </c>
      <c r="I177" s="47">
        <v>3000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8" t="s">
        <v>27</v>
      </c>
      <c r="R177" s="68"/>
    </row>
    <row r="178" spans="1:18" ht="30.75" customHeight="1">
      <c r="A178" s="92"/>
      <c r="B178" s="93"/>
      <c r="C178" s="93"/>
      <c r="D178" s="79" t="s">
        <v>3</v>
      </c>
      <c r="E178" s="79"/>
      <c r="F178" s="79">
        <v>2019</v>
      </c>
      <c r="G178" s="38">
        <f t="shared" si="88"/>
        <v>100000</v>
      </c>
      <c r="H178" s="38">
        <f t="shared" si="89"/>
        <v>0</v>
      </c>
      <c r="I178" s="47">
        <v>25000</v>
      </c>
      <c r="J178" s="47">
        <v>0</v>
      </c>
      <c r="K178" s="47">
        <v>0</v>
      </c>
      <c r="L178" s="47">
        <v>0</v>
      </c>
      <c r="M178" s="47">
        <v>75000</v>
      </c>
      <c r="N178" s="47">
        <v>0</v>
      </c>
      <c r="O178" s="47">
        <v>0</v>
      </c>
      <c r="P178" s="47">
        <v>0</v>
      </c>
      <c r="Q178" s="48"/>
      <c r="R178" s="68"/>
    </row>
    <row r="179" spans="1:18" ht="77.25" customHeight="1">
      <c r="A179" s="92" t="s">
        <v>265</v>
      </c>
      <c r="B179" s="93" t="s">
        <v>164</v>
      </c>
      <c r="C179" s="107">
        <v>2.389</v>
      </c>
      <c r="D179" s="79" t="s">
        <v>2</v>
      </c>
      <c r="E179" s="79"/>
      <c r="F179" s="79">
        <v>2018</v>
      </c>
      <c r="G179" s="38">
        <f aca="true" t="shared" si="90" ref="G179:H181">I179+K179+M179+O179</f>
        <v>1950</v>
      </c>
      <c r="H179" s="38">
        <f t="shared" si="90"/>
        <v>0</v>
      </c>
      <c r="I179" s="47">
        <v>1950</v>
      </c>
      <c r="J179" s="47">
        <v>0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8" t="s">
        <v>165</v>
      </c>
      <c r="R179" s="68"/>
    </row>
    <row r="180" spans="1:18" ht="77.25" customHeight="1">
      <c r="A180" s="92"/>
      <c r="B180" s="93"/>
      <c r="C180" s="107"/>
      <c r="D180" s="79" t="s">
        <v>3</v>
      </c>
      <c r="E180" s="79"/>
      <c r="F180" s="79">
        <v>2018</v>
      </c>
      <c r="G180" s="38">
        <f t="shared" si="90"/>
        <v>7800.6</v>
      </c>
      <c r="H180" s="38">
        <f t="shared" si="90"/>
        <v>0</v>
      </c>
      <c r="I180" s="47">
        <v>7800.6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8"/>
      <c r="R180" s="68"/>
    </row>
    <row r="181" spans="1:18" ht="60" customHeight="1">
      <c r="A181" s="88" t="s">
        <v>266</v>
      </c>
      <c r="B181" s="85" t="s">
        <v>42</v>
      </c>
      <c r="C181" s="85">
        <v>0.68</v>
      </c>
      <c r="D181" s="85" t="s">
        <v>2</v>
      </c>
      <c r="E181" s="85"/>
      <c r="F181" s="72">
        <v>2018</v>
      </c>
      <c r="G181" s="38">
        <f t="shared" si="90"/>
        <v>4100</v>
      </c>
      <c r="H181" s="38">
        <f t="shared" si="90"/>
        <v>0</v>
      </c>
      <c r="I181" s="47">
        <v>4100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8" t="s">
        <v>27</v>
      </c>
      <c r="R181" s="68"/>
    </row>
    <row r="182" spans="1:18" ht="47.25" customHeight="1">
      <c r="A182" s="77" t="s">
        <v>267</v>
      </c>
      <c r="B182" s="78" t="s">
        <v>395</v>
      </c>
      <c r="C182" s="78">
        <v>1</v>
      </c>
      <c r="D182" s="78" t="s">
        <v>2</v>
      </c>
      <c r="E182" s="79" t="s">
        <v>246</v>
      </c>
      <c r="F182" s="79">
        <v>2016</v>
      </c>
      <c r="G182" s="38">
        <f>I182+K182+M182+O182</f>
        <v>4650</v>
      </c>
      <c r="H182" s="38">
        <f>J182+L182+N182+P182</f>
        <v>4650</v>
      </c>
      <c r="I182" s="47">
        <v>450</v>
      </c>
      <c r="J182" s="47">
        <v>450</v>
      </c>
      <c r="K182" s="47">
        <v>0</v>
      </c>
      <c r="L182" s="47">
        <v>0</v>
      </c>
      <c r="M182" s="47">
        <v>4200</v>
      </c>
      <c r="N182" s="47">
        <v>4200</v>
      </c>
      <c r="O182" s="47">
        <v>0</v>
      </c>
      <c r="P182" s="47">
        <v>0</v>
      </c>
      <c r="Q182" s="50" t="s">
        <v>27</v>
      </c>
      <c r="R182" s="68"/>
    </row>
    <row r="183" spans="1:18" ht="47.25" customHeight="1">
      <c r="A183" s="82"/>
      <c r="B183" s="83"/>
      <c r="C183" s="83"/>
      <c r="D183" s="83"/>
      <c r="E183" s="79" t="s">
        <v>394</v>
      </c>
      <c r="F183" s="79">
        <v>2017</v>
      </c>
      <c r="G183" s="38">
        <f>I183+K183+M183+O183</f>
        <v>3696.8</v>
      </c>
      <c r="H183" s="38">
        <f>J183+L183+N183+P183</f>
        <v>3696.8</v>
      </c>
      <c r="I183" s="47">
        <v>357.8</v>
      </c>
      <c r="J183" s="47">
        <v>357.8</v>
      </c>
      <c r="K183" s="47">
        <v>0</v>
      </c>
      <c r="L183" s="47">
        <v>0</v>
      </c>
      <c r="M183" s="47">
        <v>3339</v>
      </c>
      <c r="N183" s="47">
        <v>3339</v>
      </c>
      <c r="O183" s="47">
        <v>0</v>
      </c>
      <c r="P183" s="47">
        <v>0</v>
      </c>
      <c r="Q183" s="51"/>
      <c r="R183" s="68"/>
    </row>
    <row r="184" spans="1:18" ht="29.25" customHeight="1">
      <c r="A184" s="63" t="s">
        <v>268</v>
      </c>
      <c r="B184" s="74" t="s">
        <v>111</v>
      </c>
      <c r="C184" s="74"/>
      <c r="D184" s="74"/>
      <c r="E184" s="44"/>
      <c r="F184" s="67" t="s">
        <v>98</v>
      </c>
      <c r="G184" s="40">
        <f aca="true" t="shared" si="91" ref="G184:P184">G191+G198</f>
        <v>1456700</v>
      </c>
      <c r="H184" s="40">
        <f t="shared" si="91"/>
        <v>27393.300000000003</v>
      </c>
      <c r="I184" s="40">
        <f t="shared" si="91"/>
        <v>904892.6000000001</v>
      </c>
      <c r="J184" s="40">
        <f t="shared" si="91"/>
        <v>15654.4</v>
      </c>
      <c r="K184" s="40">
        <f t="shared" si="91"/>
        <v>0</v>
      </c>
      <c r="L184" s="40">
        <f t="shared" si="91"/>
        <v>0</v>
      </c>
      <c r="M184" s="40">
        <f t="shared" si="91"/>
        <v>551807.4</v>
      </c>
      <c r="N184" s="40">
        <f t="shared" si="91"/>
        <v>11738.900000000001</v>
      </c>
      <c r="O184" s="40">
        <f t="shared" si="91"/>
        <v>0</v>
      </c>
      <c r="P184" s="40">
        <f t="shared" si="91"/>
        <v>0</v>
      </c>
      <c r="Q184" s="39"/>
      <c r="R184" s="68"/>
    </row>
    <row r="185" spans="1:18" ht="22.5" customHeight="1">
      <c r="A185" s="63"/>
      <c r="B185" s="74"/>
      <c r="C185" s="74"/>
      <c r="D185" s="74"/>
      <c r="E185" s="44"/>
      <c r="F185" s="72">
        <v>2015</v>
      </c>
      <c r="G185" s="38">
        <f aca="true" t="shared" si="92" ref="G185:P185">G192+G199</f>
        <v>13453.8</v>
      </c>
      <c r="H185" s="38">
        <f t="shared" si="92"/>
        <v>13453.8</v>
      </c>
      <c r="I185" s="38">
        <f>I192+I199</f>
        <v>6986.7</v>
      </c>
      <c r="J185" s="38">
        <f t="shared" si="92"/>
        <v>6986.7</v>
      </c>
      <c r="K185" s="38">
        <f t="shared" si="92"/>
        <v>0</v>
      </c>
      <c r="L185" s="38">
        <f t="shared" si="92"/>
        <v>0</v>
      </c>
      <c r="M185" s="38">
        <f t="shared" si="92"/>
        <v>6467.1</v>
      </c>
      <c r="N185" s="38">
        <f t="shared" si="92"/>
        <v>6467.1</v>
      </c>
      <c r="O185" s="38">
        <f t="shared" si="92"/>
        <v>0</v>
      </c>
      <c r="P185" s="38">
        <f t="shared" si="92"/>
        <v>0</v>
      </c>
      <c r="Q185" s="39"/>
      <c r="R185" s="68"/>
    </row>
    <row r="186" spans="1:18" ht="20.25" customHeight="1">
      <c r="A186" s="63"/>
      <c r="B186" s="74"/>
      <c r="C186" s="74"/>
      <c r="D186" s="74"/>
      <c r="E186" s="44"/>
      <c r="F186" s="72">
        <v>2016</v>
      </c>
      <c r="G186" s="38">
        <f aca="true" t="shared" si="93" ref="G186:P186">G193+G200</f>
        <v>11535.2</v>
      </c>
      <c r="H186" s="38">
        <f t="shared" si="93"/>
        <v>11535.2</v>
      </c>
      <c r="I186" s="38">
        <f t="shared" si="93"/>
        <v>6263.4</v>
      </c>
      <c r="J186" s="38">
        <f t="shared" si="93"/>
        <v>6263.4</v>
      </c>
      <c r="K186" s="38">
        <f t="shared" si="93"/>
        <v>0</v>
      </c>
      <c r="L186" s="38">
        <f t="shared" si="93"/>
        <v>0</v>
      </c>
      <c r="M186" s="38">
        <f t="shared" si="93"/>
        <v>5271.8</v>
      </c>
      <c r="N186" s="38">
        <f t="shared" si="93"/>
        <v>5271.8</v>
      </c>
      <c r="O186" s="38">
        <f t="shared" si="93"/>
        <v>0</v>
      </c>
      <c r="P186" s="38">
        <f t="shared" si="93"/>
        <v>0</v>
      </c>
      <c r="Q186" s="39"/>
      <c r="R186" s="68"/>
    </row>
    <row r="187" spans="1:18" ht="21.75" customHeight="1">
      <c r="A187" s="63"/>
      <c r="B187" s="74"/>
      <c r="C187" s="74"/>
      <c r="D187" s="74"/>
      <c r="E187" s="44"/>
      <c r="F187" s="72">
        <v>2017</v>
      </c>
      <c r="G187" s="38">
        <f aca="true" t="shared" si="94" ref="G187:P187">G194+G201</f>
        <v>2404.3</v>
      </c>
      <c r="H187" s="38">
        <f t="shared" si="94"/>
        <v>2404.3</v>
      </c>
      <c r="I187" s="38">
        <f t="shared" si="94"/>
        <v>2404.3</v>
      </c>
      <c r="J187" s="38">
        <f t="shared" si="94"/>
        <v>2404.3</v>
      </c>
      <c r="K187" s="38">
        <f t="shared" si="94"/>
        <v>0</v>
      </c>
      <c r="L187" s="38">
        <f t="shared" si="94"/>
        <v>0</v>
      </c>
      <c r="M187" s="38">
        <f t="shared" si="94"/>
        <v>0</v>
      </c>
      <c r="N187" s="38">
        <f t="shared" si="94"/>
        <v>0</v>
      </c>
      <c r="O187" s="38">
        <f t="shared" si="94"/>
        <v>0</v>
      </c>
      <c r="P187" s="38">
        <f t="shared" si="94"/>
        <v>0</v>
      </c>
      <c r="Q187" s="39"/>
      <c r="R187" s="68"/>
    </row>
    <row r="188" spans="1:18" ht="24" customHeight="1">
      <c r="A188" s="63"/>
      <c r="B188" s="74"/>
      <c r="C188" s="74"/>
      <c r="D188" s="74"/>
      <c r="E188" s="44"/>
      <c r="F188" s="72">
        <v>2018</v>
      </c>
      <c r="G188" s="38">
        <f aca="true" t="shared" si="95" ref="G188:P188">G195+G202</f>
        <v>1034854.7</v>
      </c>
      <c r="H188" s="38">
        <f t="shared" si="95"/>
        <v>0</v>
      </c>
      <c r="I188" s="38">
        <f t="shared" si="95"/>
        <v>494786.2</v>
      </c>
      <c r="J188" s="38">
        <f t="shared" si="95"/>
        <v>0</v>
      </c>
      <c r="K188" s="38">
        <f t="shared" si="95"/>
        <v>0</v>
      </c>
      <c r="L188" s="38">
        <f t="shared" si="95"/>
        <v>0</v>
      </c>
      <c r="M188" s="38">
        <f t="shared" si="95"/>
        <v>540068.5</v>
      </c>
      <c r="N188" s="38">
        <f t="shared" si="95"/>
        <v>0</v>
      </c>
      <c r="O188" s="38">
        <f t="shared" si="95"/>
        <v>0</v>
      </c>
      <c r="P188" s="38">
        <f t="shared" si="95"/>
        <v>0</v>
      </c>
      <c r="Q188" s="39"/>
      <c r="R188" s="68"/>
    </row>
    <row r="189" spans="1:18" ht="18" customHeight="1">
      <c r="A189" s="63"/>
      <c r="B189" s="74"/>
      <c r="C189" s="74"/>
      <c r="D189" s="74"/>
      <c r="E189" s="44"/>
      <c r="F189" s="72">
        <v>2019</v>
      </c>
      <c r="G189" s="38">
        <f aca="true" t="shared" si="96" ref="G189:P190">G196+G203</f>
        <v>185412</v>
      </c>
      <c r="H189" s="38">
        <f t="shared" si="96"/>
        <v>0</v>
      </c>
      <c r="I189" s="38">
        <f t="shared" si="96"/>
        <v>185412</v>
      </c>
      <c r="J189" s="38">
        <f t="shared" si="96"/>
        <v>0</v>
      </c>
      <c r="K189" s="38">
        <f t="shared" si="96"/>
        <v>0</v>
      </c>
      <c r="L189" s="38">
        <f t="shared" si="96"/>
        <v>0</v>
      </c>
      <c r="M189" s="38">
        <f t="shared" si="96"/>
        <v>0</v>
      </c>
      <c r="N189" s="38">
        <f t="shared" si="96"/>
        <v>0</v>
      </c>
      <c r="O189" s="38">
        <f t="shared" si="96"/>
        <v>0</v>
      </c>
      <c r="P189" s="38">
        <f t="shared" si="96"/>
        <v>0</v>
      </c>
      <c r="Q189" s="39"/>
      <c r="R189" s="68"/>
    </row>
    <row r="190" spans="1:18" ht="21.75" customHeight="1">
      <c r="A190" s="63"/>
      <c r="B190" s="74"/>
      <c r="C190" s="74"/>
      <c r="D190" s="74"/>
      <c r="E190" s="44"/>
      <c r="F190" s="72">
        <v>2020</v>
      </c>
      <c r="G190" s="38">
        <f>G197+G204</f>
        <v>209040</v>
      </c>
      <c r="H190" s="38">
        <f>H197+H204</f>
        <v>0</v>
      </c>
      <c r="I190" s="38">
        <f>I197+I204</f>
        <v>209040</v>
      </c>
      <c r="J190" s="38">
        <f t="shared" si="96"/>
        <v>0</v>
      </c>
      <c r="K190" s="38">
        <f>K197+K204</f>
        <v>0</v>
      </c>
      <c r="L190" s="38">
        <f t="shared" si="96"/>
        <v>0</v>
      </c>
      <c r="M190" s="38">
        <f>M197+M204</f>
        <v>0</v>
      </c>
      <c r="N190" s="38">
        <f t="shared" si="96"/>
        <v>0</v>
      </c>
      <c r="O190" s="38">
        <f>O197+O204</f>
        <v>0</v>
      </c>
      <c r="P190" s="38">
        <f t="shared" si="96"/>
        <v>0</v>
      </c>
      <c r="Q190" s="39"/>
      <c r="R190" s="68"/>
    </row>
    <row r="191" spans="1:18" ht="19.5" customHeight="1">
      <c r="A191" s="63"/>
      <c r="B191" s="74" t="s">
        <v>189</v>
      </c>
      <c r="C191" s="74"/>
      <c r="D191" s="74"/>
      <c r="E191" s="44"/>
      <c r="F191" s="67" t="s">
        <v>98</v>
      </c>
      <c r="G191" s="40">
        <f aca="true" t="shared" si="97" ref="G191:G204">I191+K191+M191+O191</f>
        <v>528601.3</v>
      </c>
      <c r="H191" s="40">
        <f aca="true" t="shared" si="98" ref="H191:H221">J191+L191+N191+P191</f>
        <v>23868.300000000003</v>
      </c>
      <c r="I191" s="40">
        <f aca="true" t="shared" si="99" ref="I191:P191">SUM(I192:I197)</f>
        <v>516862.4</v>
      </c>
      <c r="J191" s="40">
        <f t="shared" si="99"/>
        <v>12129.4</v>
      </c>
      <c r="K191" s="40">
        <f t="shared" si="99"/>
        <v>0</v>
      </c>
      <c r="L191" s="40">
        <f t="shared" si="99"/>
        <v>0</v>
      </c>
      <c r="M191" s="40">
        <f t="shared" si="99"/>
        <v>11738.900000000001</v>
      </c>
      <c r="N191" s="40">
        <f t="shared" si="99"/>
        <v>11738.900000000001</v>
      </c>
      <c r="O191" s="40">
        <f t="shared" si="99"/>
        <v>0</v>
      </c>
      <c r="P191" s="40">
        <f t="shared" si="99"/>
        <v>0</v>
      </c>
      <c r="Q191" s="39"/>
      <c r="R191" s="68"/>
    </row>
    <row r="192" spans="1:18" ht="20.25" customHeight="1">
      <c r="A192" s="63"/>
      <c r="B192" s="74"/>
      <c r="C192" s="74"/>
      <c r="D192" s="74"/>
      <c r="E192" s="44"/>
      <c r="F192" s="72">
        <v>2015</v>
      </c>
      <c r="G192" s="38">
        <f t="shared" si="97"/>
        <v>13453.8</v>
      </c>
      <c r="H192" s="38">
        <f t="shared" si="98"/>
        <v>13453.8</v>
      </c>
      <c r="I192" s="38">
        <f aca="true" t="shared" si="100" ref="I192:P192">I205+I208+I209+I214+I215+I216+I217+I219+I221</f>
        <v>6986.7</v>
      </c>
      <c r="J192" s="38">
        <f t="shared" si="100"/>
        <v>6986.7</v>
      </c>
      <c r="K192" s="38">
        <f t="shared" si="100"/>
        <v>0</v>
      </c>
      <c r="L192" s="38">
        <f t="shared" si="100"/>
        <v>0</v>
      </c>
      <c r="M192" s="38">
        <f t="shared" si="100"/>
        <v>6467.1</v>
      </c>
      <c r="N192" s="38">
        <f t="shared" si="100"/>
        <v>6467.1</v>
      </c>
      <c r="O192" s="38">
        <f t="shared" si="100"/>
        <v>0</v>
      </c>
      <c r="P192" s="38">
        <f t="shared" si="100"/>
        <v>0</v>
      </c>
      <c r="Q192" s="39"/>
      <c r="R192" s="68"/>
    </row>
    <row r="193" spans="1:18" ht="19.5" customHeight="1">
      <c r="A193" s="63"/>
      <c r="B193" s="74"/>
      <c r="C193" s="74"/>
      <c r="D193" s="74"/>
      <c r="E193" s="44"/>
      <c r="F193" s="72">
        <v>2016</v>
      </c>
      <c r="G193" s="38">
        <f t="shared" si="97"/>
        <v>10414.5</v>
      </c>
      <c r="H193" s="38">
        <f t="shared" si="98"/>
        <v>10414.5</v>
      </c>
      <c r="I193" s="38">
        <f>I218+I210+I206</f>
        <v>5142.7</v>
      </c>
      <c r="J193" s="38">
        <f aca="true" t="shared" si="101" ref="J193:P193">J218+J210+J206</f>
        <v>5142.7</v>
      </c>
      <c r="K193" s="38">
        <f t="shared" si="101"/>
        <v>0</v>
      </c>
      <c r="L193" s="38">
        <f t="shared" si="101"/>
        <v>0</v>
      </c>
      <c r="M193" s="38">
        <f t="shared" si="101"/>
        <v>5271.8</v>
      </c>
      <c r="N193" s="38">
        <f t="shared" si="101"/>
        <v>5271.8</v>
      </c>
      <c r="O193" s="38">
        <f t="shared" si="101"/>
        <v>0</v>
      </c>
      <c r="P193" s="38">
        <f t="shared" si="101"/>
        <v>0</v>
      </c>
      <c r="Q193" s="39"/>
      <c r="R193" s="68"/>
    </row>
    <row r="194" spans="1:18" ht="21.75" customHeight="1">
      <c r="A194" s="63"/>
      <c r="B194" s="74"/>
      <c r="C194" s="74"/>
      <c r="D194" s="74"/>
      <c r="E194" s="44"/>
      <c r="F194" s="72">
        <v>2017</v>
      </c>
      <c r="G194" s="38">
        <f t="shared" si="97"/>
        <v>0</v>
      </c>
      <c r="H194" s="38">
        <f t="shared" si="98"/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9"/>
      <c r="R194" s="68"/>
    </row>
    <row r="195" spans="1:18" ht="21.75" customHeight="1">
      <c r="A195" s="63"/>
      <c r="B195" s="74"/>
      <c r="C195" s="74"/>
      <c r="D195" s="74"/>
      <c r="E195" s="44"/>
      <c r="F195" s="72">
        <v>2018</v>
      </c>
      <c r="G195" s="38">
        <f t="shared" si="97"/>
        <v>110281</v>
      </c>
      <c r="H195" s="38">
        <f t="shared" si="98"/>
        <v>0</v>
      </c>
      <c r="I195" s="38">
        <f>I250+I251+I252+I253+I256+I257+I258+I240+I241+I242+I243+I244+I245+I223+I224+I225+I226+I233+I234+I235+I237+I239+I246+I247+I248+I324</f>
        <v>110281</v>
      </c>
      <c r="J195" s="38">
        <f aca="true" t="shared" si="102" ref="J195:P195">J250+J251+J252+J253+J256+J257+J258+J240+J241+J242+J243+J244+J245+J223+J224+J225+J226+J233+J234+J235+J237+J239+J246+J247+J248+J324</f>
        <v>0</v>
      </c>
      <c r="K195" s="38">
        <f t="shared" si="102"/>
        <v>0</v>
      </c>
      <c r="L195" s="38">
        <f t="shared" si="102"/>
        <v>0</v>
      </c>
      <c r="M195" s="38">
        <f t="shared" si="102"/>
        <v>0</v>
      </c>
      <c r="N195" s="38">
        <f t="shared" si="102"/>
        <v>0</v>
      </c>
      <c r="O195" s="38">
        <f t="shared" si="102"/>
        <v>0</v>
      </c>
      <c r="P195" s="38">
        <f t="shared" si="102"/>
        <v>0</v>
      </c>
      <c r="Q195" s="39"/>
      <c r="R195" s="68"/>
    </row>
    <row r="196" spans="1:18" ht="18.75" customHeight="1">
      <c r="A196" s="63"/>
      <c r="B196" s="74"/>
      <c r="C196" s="74"/>
      <c r="D196" s="74"/>
      <c r="E196" s="44"/>
      <c r="F196" s="72">
        <v>2019</v>
      </c>
      <c r="G196" s="38">
        <f t="shared" si="97"/>
        <v>185412</v>
      </c>
      <c r="H196" s="38">
        <f t="shared" si="98"/>
        <v>0</v>
      </c>
      <c r="I196" s="52">
        <f>I279+I280+I281+I282+I283+I284+I285+I286+I287+I288+I289+I290+I291+I292+I293+I259+I260+I261+I262+I263+I264+I265+I266+I267+I268+I269+I270+I272+I273+I274+I275+I276+I277+I278+I271</f>
        <v>185412</v>
      </c>
      <c r="J196" s="52">
        <f aca="true" t="shared" si="103" ref="J196:P196">J279+J280+J281+J282+J283+J284+J285+J286+J287+J288+J289+J290+J291+J292+J293+J259+J260+J261+J262+J263+J264+J265+J266+J267+J268+J269+J270+J272+J273+J274+J275+J276+J277+J278+J271</f>
        <v>0</v>
      </c>
      <c r="K196" s="52">
        <f t="shared" si="103"/>
        <v>0</v>
      </c>
      <c r="L196" s="52">
        <f t="shared" si="103"/>
        <v>0</v>
      </c>
      <c r="M196" s="52">
        <f t="shared" si="103"/>
        <v>0</v>
      </c>
      <c r="N196" s="52">
        <f t="shared" si="103"/>
        <v>0</v>
      </c>
      <c r="O196" s="52">
        <f t="shared" si="103"/>
        <v>0</v>
      </c>
      <c r="P196" s="52">
        <f t="shared" si="103"/>
        <v>0</v>
      </c>
      <c r="Q196" s="39"/>
      <c r="R196" s="68"/>
    </row>
    <row r="197" spans="1:18" ht="20.25" customHeight="1">
      <c r="A197" s="63"/>
      <c r="B197" s="74"/>
      <c r="C197" s="74"/>
      <c r="D197" s="74"/>
      <c r="E197" s="44"/>
      <c r="F197" s="72">
        <v>2020</v>
      </c>
      <c r="G197" s="38">
        <f t="shared" si="97"/>
        <v>209040</v>
      </c>
      <c r="H197" s="38">
        <f t="shared" si="98"/>
        <v>0</v>
      </c>
      <c r="I197" s="38">
        <f aca="true" t="shared" si="104" ref="I197:P197">I296+I297+I298+I299+I300+I301+I302+I303+I304+I305+I306+I307+I308+I309+I310+I311+I312+I313+I314+I315+I316+I295+I294</f>
        <v>209040</v>
      </c>
      <c r="J197" s="38">
        <f t="shared" si="104"/>
        <v>0</v>
      </c>
      <c r="K197" s="38">
        <f t="shared" si="104"/>
        <v>0</v>
      </c>
      <c r="L197" s="38">
        <f t="shared" si="104"/>
        <v>0</v>
      </c>
      <c r="M197" s="38">
        <f t="shared" si="104"/>
        <v>0</v>
      </c>
      <c r="N197" s="38">
        <f t="shared" si="104"/>
        <v>0</v>
      </c>
      <c r="O197" s="38">
        <f t="shared" si="104"/>
        <v>0</v>
      </c>
      <c r="P197" s="38">
        <f t="shared" si="104"/>
        <v>0</v>
      </c>
      <c r="Q197" s="39"/>
      <c r="R197" s="68"/>
    </row>
    <row r="198" spans="1:18" ht="18" customHeight="1">
      <c r="A198" s="63"/>
      <c r="B198" s="74" t="s">
        <v>123</v>
      </c>
      <c r="C198" s="74"/>
      <c r="D198" s="74"/>
      <c r="E198" s="44"/>
      <c r="F198" s="67" t="s">
        <v>98</v>
      </c>
      <c r="G198" s="40">
        <f t="shared" si="97"/>
        <v>928098.7</v>
      </c>
      <c r="H198" s="40">
        <f t="shared" si="98"/>
        <v>3525</v>
      </c>
      <c r="I198" s="40">
        <f aca="true" t="shared" si="105" ref="I198:P198">SUM(I199:I204)</f>
        <v>388030.2</v>
      </c>
      <c r="J198" s="40">
        <f t="shared" si="105"/>
        <v>3525</v>
      </c>
      <c r="K198" s="40">
        <f t="shared" si="105"/>
        <v>0</v>
      </c>
      <c r="L198" s="40">
        <f t="shared" si="105"/>
        <v>0</v>
      </c>
      <c r="M198" s="40">
        <f t="shared" si="105"/>
        <v>540068.5</v>
      </c>
      <c r="N198" s="40">
        <f t="shared" si="105"/>
        <v>0</v>
      </c>
      <c r="O198" s="40">
        <f t="shared" si="105"/>
        <v>0</v>
      </c>
      <c r="P198" s="40">
        <f t="shared" si="105"/>
        <v>0</v>
      </c>
      <c r="Q198" s="39"/>
      <c r="R198" s="68"/>
    </row>
    <row r="199" spans="1:18" ht="21.75" customHeight="1">
      <c r="A199" s="63"/>
      <c r="B199" s="74"/>
      <c r="C199" s="74"/>
      <c r="D199" s="74"/>
      <c r="E199" s="44"/>
      <c r="F199" s="72">
        <v>2015</v>
      </c>
      <c r="G199" s="38">
        <f t="shared" si="97"/>
        <v>0</v>
      </c>
      <c r="H199" s="38">
        <f>J199+L199+N199+P199</f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9"/>
      <c r="R199" s="68"/>
    </row>
    <row r="200" spans="1:18" ht="19.5" customHeight="1">
      <c r="A200" s="63"/>
      <c r="B200" s="74"/>
      <c r="C200" s="74"/>
      <c r="D200" s="74"/>
      <c r="E200" s="44"/>
      <c r="F200" s="72">
        <v>2016</v>
      </c>
      <c r="G200" s="38">
        <f t="shared" si="97"/>
        <v>1120.7</v>
      </c>
      <c r="H200" s="38">
        <f t="shared" si="98"/>
        <v>1120.7</v>
      </c>
      <c r="I200" s="38">
        <f aca="true" t="shared" si="106" ref="I200:P200">I211+I213+I212</f>
        <v>1120.7</v>
      </c>
      <c r="J200" s="38">
        <f t="shared" si="106"/>
        <v>1120.7</v>
      </c>
      <c r="K200" s="38">
        <f t="shared" si="106"/>
        <v>0</v>
      </c>
      <c r="L200" s="38">
        <f t="shared" si="106"/>
        <v>0</v>
      </c>
      <c r="M200" s="38">
        <f t="shared" si="106"/>
        <v>0</v>
      </c>
      <c r="N200" s="38">
        <f t="shared" si="106"/>
        <v>0</v>
      </c>
      <c r="O200" s="38">
        <f t="shared" si="106"/>
        <v>0</v>
      </c>
      <c r="P200" s="38">
        <f t="shared" si="106"/>
        <v>0</v>
      </c>
      <c r="Q200" s="39"/>
      <c r="R200" s="68"/>
    </row>
    <row r="201" spans="1:18" ht="18.75" customHeight="1">
      <c r="A201" s="63"/>
      <c r="B201" s="74"/>
      <c r="C201" s="74"/>
      <c r="D201" s="74"/>
      <c r="E201" s="44"/>
      <c r="F201" s="72">
        <v>2017</v>
      </c>
      <c r="G201" s="38">
        <f t="shared" si="97"/>
        <v>2404.3</v>
      </c>
      <c r="H201" s="38">
        <f t="shared" si="98"/>
        <v>2404.3</v>
      </c>
      <c r="I201" s="38">
        <f>I220</f>
        <v>2404.3</v>
      </c>
      <c r="J201" s="38">
        <f aca="true" t="shared" si="107" ref="J201:P201">J220</f>
        <v>2404.3</v>
      </c>
      <c r="K201" s="38">
        <f t="shared" si="107"/>
        <v>0</v>
      </c>
      <c r="L201" s="38">
        <f t="shared" si="107"/>
        <v>0</v>
      </c>
      <c r="M201" s="38">
        <f t="shared" si="107"/>
        <v>0</v>
      </c>
      <c r="N201" s="38">
        <f t="shared" si="107"/>
        <v>0</v>
      </c>
      <c r="O201" s="38">
        <f t="shared" si="107"/>
        <v>0</v>
      </c>
      <c r="P201" s="38">
        <f t="shared" si="107"/>
        <v>0</v>
      </c>
      <c r="Q201" s="39"/>
      <c r="R201" s="68"/>
    </row>
    <row r="202" spans="1:18" ht="17.25" customHeight="1">
      <c r="A202" s="63"/>
      <c r="B202" s="74"/>
      <c r="C202" s="74"/>
      <c r="D202" s="74"/>
      <c r="E202" s="44"/>
      <c r="F202" s="72">
        <v>2018</v>
      </c>
      <c r="G202" s="38">
        <f t="shared" si="97"/>
        <v>924573.7</v>
      </c>
      <c r="H202" s="38">
        <f t="shared" si="98"/>
        <v>0</v>
      </c>
      <c r="I202" s="38">
        <f aca="true" t="shared" si="108" ref="I202:P202">I207+I238+I249+I254+I255+I222+I227+I228+I229+I230+I231+I232+I236</f>
        <v>384505.2</v>
      </c>
      <c r="J202" s="38">
        <f t="shared" si="108"/>
        <v>0</v>
      </c>
      <c r="K202" s="38">
        <f t="shared" si="108"/>
        <v>0</v>
      </c>
      <c r="L202" s="38">
        <f t="shared" si="108"/>
        <v>0</v>
      </c>
      <c r="M202" s="38">
        <f t="shared" si="108"/>
        <v>540068.5</v>
      </c>
      <c r="N202" s="38">
        <f t="shared" si="108"/>
        <v>0</v>
      </c>
      <c r="O202" s="38">
        <f t="shared" si="108"/>
        <v>0</v>
      </c>
      <c r="P202" s="38">
        <f t="shared" si="108"/>
        <v>0</v>
      </c>
      <c r="Q202" s="39"/>
      <c r="R202" s="68"/>
    </row>
    <row r="203" spans="1:18" ht="19.5" customHeight="1">
      <c r="A203" s="63"/>
      <c r="B203" s="74"/>
      <c r="C203" s="74"/>
      <c r="D203" s="74"/>
      <c r="E203" s="44"/>
      <c r="F203" s="72">
        <v>2019</v>
      </c>
      <c r="G203" s="38">
        <f t="shared" si="97"/>
        <v>0</v>
      </c>
      <c r="H203" s="38">
        <f t="shared" si="98"/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39"/>
      <c r="R203" s="68"/>
    </row>
    <row r="204" spans="1:18" ht="18" customHeight="1">
      <c r="A204" s="63"/>
      <c r="B204" s="74"/>
      <c r="C204" s="74"/>
      <c r="D204" s="74"/>
      <c r="E204" s="44"/>
      <c r="F204" s="72">
        <v>2020</v>
      </c>
      <c r="G204" s="38">
        <f t="shared" si="97"/>
        <v>0</v>
      </c>
      <c r="H204" s="38">
        <f t="shared" si="98"/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9"/>
      <c r="R204" s="68"/>
    </row>
    <row r="205" spans="1:18" ht="45.75" customHeight="1">
      <c r="A205" s="92" t="s">
        <v>158</v>
      </c>
      <c r="B205" s="93" t="s">
        <v>135</v>
      </c>
      <c r="C205" s="93">
        <v>2.072</v>
      </c>
      <c r="D205" s="79" t="s">
        <v>2</v>
      </c>
      <c r="E205" s="79"/>
      <c r="F205" s="79">
        <v>2015</v>
      </c>
      <c r="G205" s="47">
        <f>I205+K205+M205+O205</f>
        <v>6558.1</v>
      </c>
      <c r="H205" s="47">
        <f t="shared" si="98"/>
        <v>6558.1</v>
      </c>
      <c r="I205" s="47">
        <f>1814.2-1723.2</f>
        <v>91</v>
      </c>
      <c r="J205" s="47">
        <f>1814.2-1723.2</f>
        <v>91</v>
      </c>
      <c r="K205" s="47">
        <v>0</v>
      </c>
      <c r="L205" s="47">
        <v>0</v>
      </c>
      <c r="M205" s="47">
        <v>6467.1</v>
      </c>
      <c r="N205" s="47">
        <v>6467.1</v>
      </c>
      <c r="O205" s="47">
        <v>0</v>
      </c>
      <c r="P205" s="47">
        <v>0</v>
      </c>
      <c r="Q205" s="50"/>
      <c r="R205" s="68"/>
    </row>
    <row r="206" spans="1:18" ht="45.75" customHeight="1">
      <c r="A206" s="92"/>
      <c r="B206" s="93"/>
      <c r="C206" s="93"/>
      <c r="D206" s="79" t="s">
        <v>2</v>
      </c>
      <c r="E206" s="79" t="s">
        <v>248</v>
      </c>
      <c r="F206" s="79">
        <v>2016</v>
      </c>
      <c r="G206" s="47">
        <f>I206+K206+M206+O206</f>
        <v>5271.8</v>
      </c>
      <c r="H206" s="47">
        <f>J206+L206+N206+P206</f>
        <v>5271.8</v>
      </c>
      <c r="I206" s="47">
        <v>0</v>
      </c>
      <c r="J206" s="47">
        <v>0</v>
      </c>
      <c r="K206" s="47">
        <v>0</v>
      </c>
      <c r="L206" s="47">
        <v>0</v>
      </c>
      <c r="M206" s="47">
        <v>5271.8</v>
      </c>
      <c r="N206" s="47">
        <v>5271.8</v>
      </c>
      <c r="O206" s="47">
        <v>0</v>
      </c>
      <c r="P206" s="47">
        <v>0</v>
      </c>
      <c r="Q206" s="53"/>
      <c r="R206" s="68"/>
    </row>
    <row r="207" spans="1:18" ht="45" customHeight="1">
      <c r="A207" s="92"/>
      <c r="B207" s="93"/>
      <c r="C207" s="93"/>
      <c r="D207" s="79" t="s">
        <v>3</v>
      </c>
      <c r="E207" s="79"/>
      <c r="F207" s="72">
        <v>2018</v>
      </c>
      <c r="G207" s="47">
        <f>I207+K207+M207+O207</f>
        <v>76142.3</v>
      </c>
      <c r="H207" s="47">
        <f>J207+L207+N207+P207</f>
        <v>0</v>
      </c>
      <c r="I207" s="47">
        <v>76142.3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51"/>
      <c r="R207" s="68"/>
    </row>
    <row r="208" spans="1:18" ht="45.75" customHeight="1">
      <c r="A208" s="88" t="s">
        <v>269</v>
      </c>
      <c r="B208" s="79" t="s">
        <v>139</v>
      </c>
      <c r="C208" s="79">
        <v>1.23</v>
      </c>
      <c r="D208" s="79" t="s">
        <v>2</v>
      </c>
      <c r="E208" s="79"/>
      <c r="F208" s="79">
        <v>2015</v>
      </c>
      <c r="G208" s="47">
        <f>I208+K208+M208+O208</f>
        <v>660.9000000000001</v>
      </c>
      <c r="H208" s="47">
        <f t="shared" si="98"/>
        <v>660.9000000000001</v>
      </c>
      <c r="I208" s="47">
        <f>1307.9-533.1-113.9</f>
        <v>660.9000000000001</v>
      </c>
      <c r="J208" s="47">
        <f>1307.9-533.1-113.9</f>
        <v>660.9000000000001</v>
      </c>
      <c r="K208" s="47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8" t="s">
        <v>27</v>
      </c>
      <c r="R208" s="68"/>
    </row>
    <row r="209" spans="1:18" ht="45.75" customHeight="1">
      <c r="A209" s="77" t="s">
        <v>270</v>
      </c>
      <c r="B209" s="78" t="s">
        <v>140</v>
      </c>
      <c r="C209" s="78">
        <v>1</v>
      </c>
      <c r="D209" s="79" t="s">
        <v>2</v>
      </c>
      <c r="E209" s="79"/>
      <c r="F209" s="79">
        <v>2015</v>
      </c>
      <c r="G209" s="47">
        <f>I209+K209+M209+O209</f>
        <v>1129.1000000000004</v>
      </c>
      <c r="H209" s="47">
        <f t="shared" si="98"/>
        <v>1129.1000000000004</v>
      </c>
      <c r="I209" s="47">
        <f>1765.6+3933-4569.5</f>
        <v>1129.1000000000004</v>
      </c>
      <c r="J209" s="47">
        <f>1765.6+3933-4569.5</f>
        <v>1129.1000000000004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8" t="s">
        <v>27</v>
      </c>
      <c r="R209" s="68"/>
    </row>
    <row r="210" spans="1:18" ht="45.75" customHeight="1">
      <c r="A210" s="82"/>
      <c r="B210" s="83"/>
      <c r="C210" s="83"/>
      <c r="D210" s="79" t="s">
        <v>2</v>
      </c>
      <c r="E210" s="79" t="s">
        <v>249</v>
      </c>
      <c r="F210" s="79">
        <v>2016</v>
      </c>
      <c r="G210" s="47">
        <f aca="true" t="shared" si="109" ref="G210:H213">I210+K210+M210+O210</f>
        <v>4569.5</v>
      </c>
      <c r="H210" s="47">
        <f t="shared" si="109"/>
        <v>4569.5</v>
      </c>
      <c r="I210" s="47">
        <v>4569.5</v>
      </c>
      <c r="J210" s="47">
        <v>4569.5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8" t="s">
        <v>27</v>
      </c>
      <c r="R210" s="68"/>
    </row>
    <row r="211" spans="1:18" ht="64.5" customHeight="1">
      <c r="A211" s="88" t="s">
        <v>271</v>
      </c>
      <c r="B211" s="79" t="s">
        <v>199</v>
      </c>
      <c r="C211" s="79">
        <v>0.336</v>
      </c>
      <c r="D211" s="79" t="s">
        <v>3</v>
      </c>
      <c r="E211" s="79" t="s">
        <v>249</v>
      </c>
      <c r="F211" s="79">
        <v>2016</v>
      </c>
      <c r="G211" s="47">
        <f t="shared" si="109"/>
        <v>496.49999999999994</v>
      </c>
      <c r="H211" s="47">
        <f t="shared" si="109"/>
        <v>496.49999999999994</v>
      </c>
      <c r="I211" s="47">
        <f>700-20.2-7.8-51.7-123.8</f>
        <v>496.49999999999994</v>
      </c>
      <c r="J211" s="47">
        <f>700-20.2-7.8-51.7-123.8</f>
        <v>496.49999999999994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8"/>
      <c r="R211" s="68"/>
    </row>
    <row r="212" spans="1:18" ht="64.5" customHeight="1">
      <c r="A212" s="88" t="s">
        <v>272</v>
      </c>
      <c r="B212" s="79" t="s">
        <v>252</v>
      </c>
      <c r="C212" s="79"/>
      <c r="D212" s="79" t="s">
        <v>3</v>
      </c>
      <c r="E212" s="79" t="s">
        <v>249</v>
      </c>
      <c r="F212" s="79">
        <v>2016</v>
      </c>
      <c r="G212" s="47">
        <f>I212+K212+M212+O212</f>
        <v>39.9</v>
      </c>
      <c r="H212" s="47">
        <f>J212+L212+N212+P212</f>
        <v>39.9</v>
      </c>
      <c r="I212" s="47">
        <v>39.9</v>
      </c>
      <c r="J212" s="47">
        <v>39.9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8"/>
      <c r="R212" s="68"/>
    </row>
    <row r="213" spans="1:18" ht="64.5" customHeight="1">
      <c r="A213" s="88" t="s">
        <v>273</v>
      </c>
      <c r="B213" s="79" t="s">
        <v>237</v>
      </c>
      <c r="C213" s="79"/>
      <c r="D213" s="79" t="s">
        <v>3</v>
      </c>
      <c r="E213" s="79" t="s">
        <v>249</v>
      </c>
      <c r="F213" s="79">
        <v>2016</v>
      </c>
      <c r="G213" s="47">
        <f t="shared" si="109"/>
        <v>584.3000000000001</v>
      </c>
      <c r="H213" s="47">
        <f t="shared" si="109"/>
        <v>584.3000000000001</v>
      </c>
      <c r="I213" s="47">
        <f>710.2-30.2-94.3-1.4</f>
        <v>584.3000000000001</v>
      </c>
      <c r="J213" s="47">
        <f>710.2-30.2-94.3-1.4</f>
        <v>584.3000000000001</v>
      </c>
      <c r="K213" s="47">
        <v>0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8"/>
      <c r="R213" s="68"/>
    </row>
    <row r="214" spans="1:18" ht="42" customHeight="1">
      <c r="A214" s="88" t="s">
        <v>274</v>
      </c>
      <c r="B214" s="79" t="s">
        <v>141</v>
      </c>
      <c r="C214" s="79">
        <v>2.3</v>
      </c>
      <c r="D214" s="79" t="s">
        <v>2</v>
      </c>
      <c r="E214" s="79"/>
      <c r="F214" s="79">
        <v>2015</v>
      </c>
      <c r="G214" s="47">
        <f aca="true" t="shared" si="110" ref="G214:G222">I214+K214+M214+O214</f>
        <v>1384.6999999999998</v>
      </c>
      <c r="H214" s="47">
        <f t="shared" si="98"/>
        <v>1384.6999999999998</v>
      </c>
      <c r="I214" s="47">
        <f>3092.2-1707.5</f>
        <v>1384.6999999999998</v>
      </c>
      <c r="J214" s="47">
        <f>3092.2-1707.5</f>
        <v>1384.6999999999998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8" t="s">
        <v>27</v>
      </c>
      <c r="R214" s="68"/>
    </row>
    <row r="215" spans="1:18" ht="42" customHeight="1">
      <c r="A215" s="88" t="s">
        <v>275</v>
      </c>
      <c r="B215" s="79" t="s">
        <v>142</v>
      </c>
      <c r="C215" s="79">
        <v>4.1</v>
      </c>
      <c r="D215" s="79" t="s">
        <v>2</v>
      </c>
      <c r="E215" s="79"/>
      <c r="F215" s="79">
        <v>2015</v>
      </c>
      <c r="G215" s="47">
        <f t="shared" si="110"/>
        <v>1366.0999999999997</v>
      </c>
      <c r="H215" s="47">
        <f t="shared" si="98"/>
        <v>1366.0999999999997</v>
      </c>
      <c r="I215" s="47">
        <f>3031.1-581.7-1083.3</f>
        <v>1366.0999999999997</v>
      </c>
      <c r="J215" s="47">
        <f>3031.1-581.7-1083.3</f>
        <v>1366.0999999999997</v>
      </c>
      <c r="K215" s="47">
        <v>0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8" t="s">
        <v>27</v>
      </c>
      <c r="R215" s="68"/>
    </row>
    <row r="216" spans="1:18" ht="42" customHeight="1">
      <c r="A216" s="88" t="s">
        <v>276</v>
      </c>
      <c r="B216" s="79" t="s">
        <v>143</v>
      </c>
      <c r="C216" s="79">
        <v>2.8</v>
      </c>
      <c r="D216" s="79" t="s">
        <v>2</v>
      </c>
      <c r="E216" s="79"/>
      <c r="F216" s="79">
        <v>2015</v>
      </c>
      <c r="G216" s="47">
        <f t="shared" si="110"/>
        <v>1196.6</v>
      </c>
      <c r="H216" s="47">
        <f t="shared" si="98"/>
        <v>1196.6</v>
      </c>
      <c r="I216" s="47">
        <f>2138.5-941.9</f>
        <v>1196.6</v>
      </c>
      <c r="J216" s="47">
        <f>2138.5-941.9</f>
        <v>1196.6</v>
      </c>
      <c r="K216" s="47">
        <v>0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8" t="s">
        <v>27</v>
      </c>
      <c r="R216" s="68"/>
    </row>
    <row r="217" spans="1:18" ht="42" customHeight="1">
      <c r="A217" s="77" t="s">
        <v>277</v>
      </c>
      <c r="B217" s="78" t="s">
        <v>144</v>
      </c>
      <c r="C217" s="78">
        <v>0.6</v>
      </c>
      <c r="D217" s="79" t="s">
        <v>2</v>
      </c>
      <c r="E217" s="79"/>
      <c r="F217" s="79">
        <v>2015</v>
      </c>
      <c r="G217" s="47">
        <f t="shared" si="110"/>
        <v>778.3</v>
      </c>
      <c r="H217" s="47">
        <f t="shared" si="98"/>
        <v>778.3</v>
      </c>
      <c r="I217" s="47">
        <f>245.2+533.1+573.2-573.2</f>
        <v>778.3</v>
      </c>
      <c r="J217" s="47">
        <f>245.2+533.1+573.2-573.2</f>
        <v>778.3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8" t="s">
        <v>187</v>
      </c>
      <c r="R217" s="68"/>
    </row>
    <row r="218" spans="1:18" ht="42" customHeight="1">
      <c r="A218" s="82"/>
      <c r="B218" s="83"/>
      <c r="C218" s="83"/>
      <c r="D218" s="79" t="s">
        <v>2</v>
      </c>
      <c r="E218" s="79" t="s">
        <v>249</v>
      </c>
      <c r="F218" s="79">
        <v>2016</v>
      </c>
      <c r="G218" s="47">
        <f t="shared" si="110"/>
        <v>573.2</v>
      </c>
      <c r="H218" s="47">
        <f>J218+L218+N218+P218</f>
        <v>573.2</v>
      </c>
      <c r="I218" s="47">
        <v>573.2</v>
      </c>
      <c r="J218" s="47">
        <v>573.2</v>
      </c>
      <c r="K218" s="47"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8" t="s">
        <v>27</v>
      </c>
      <c r="R218" s="68"/>
    </row>
    <row r="219" spans="1:18" ht="42" customHeight="1">
      <c r="A219" s="77" t="s">
        <v>279</v>
      </c>
      <c r="B219" s="78" t="s">
        <v>200</v>
      </c>
      <c r="C219" s="78">
        <v>0.6</v>
      </c>
      <c r="D219" s="79" t="s">
        <v>2</v>
      </c>
      <c r="E219" s="79"/>
      <c r="F219" s="79">
        <v>2015</v>
      </c>
      <c r="G219" s="47">
        <f t="shared" si="110"/>
        <v>190</v>
      </c>
      <c r="H219" s="47">
        <f t="shared" si="98"/>
        <v>190</v>
      </c>
      <c r="I219" s="47">
        <f>400-210</f>
        <v>190</v>
      </c>
      <c r="J219" s="47">
        <f>400-210</f>
        <v>190</v>
      </c>
      <c r="K219" s="47">
        <v>0</v>
      </c>
      <c r="L219" s="47">
        <v>0</v>
      </c>
      <c r="M219" s="47">
        <v>0</v>
      </c>
      <c r="N219" s="47">
        <v>0</v>
      </c>
      <c r="O219" s="47">
        <v>0</v>
      </c>
      <c r="P219" s="47">
        <v>0</v>
      </c>
      <c r="Q219" s="48" t="s">
        <v>27</v>
      </c>
      <c r="R219" s="68"/>
    </row>
    <row r="220" spans="1:18" ht="42" customHeight="1">
      <c r="A220" s="82"/>
      <c r="B220" s="83"/>
      <c r="C220" s="83"/>
      <c r="D220" s="79" t="s">
        <v>3</v>
      </c>
      <c r="E220" s="79" t="s">
        <v>249</v>
      </c>
      <c r="F220" s="79">
        <v>2017</v>
      </c>
      <c r="G220" s="47">
        <f t="shared" si="110"/>
        <v>2404.3</v>
      </c>
      <c r="H220" s="47">
        <f>J220+L220+N220+P220</f>
        <v>2404.3</v>
      </c>
      <c r="I220" s="47">
        <v>2404.3</v>
      </c>
      <c r="J220" s="47">
        <v>2404.3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8"/>
      <c r="R220" s="68"/>
    </row>
    <row r="221" spans="1:18" ht="52.5" customHeight="1">
      <c r="A221" s="77" t="s">
        <v>278</v>
      </c>
      <c r="B221" s="78" t="s">
        <v>145</v>
      </c>
      <c r="C221" s="78">
        <v>0.4</v>
      </c>
      <c r="D221" s="79" t="s">
        <v>2</v>
      </c>
      <c r="E221" s="79"/>
      <c r="F221" s="79">
        <v>2015</v>
      </c>
      <c r="G221" s="47">
        <f t="shared" si="110"/>
        <v>190</v>
      </c>
      <c r="H221" s="47">
        <f t="shared" si="98"/>
        <v>190</v>
      </c>
      <c r="I221" s="47">
        <f>432-242</f>
        <v>190</v>
      </c>
      <c r="J221" s="47">
        <f>432-242</f>
        <v>190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54" t="s">
        <v>383</v>
      </c>
      <c r="R221" s="68"/>
    </row>
    <row r="222" spans="1:18" ht="52.5" customHeight="1">
      <c r="A222" s="82"/>
      <c r="B222" s="83"/>
      <c r="C222" s="83"/>
      <c r="D222" s="79" t="s">
        <v>3</v>
      </c>
      <c r="E222" s="79"/>
      <c r="F222" s="79">
        <v>2018</v>
      </c>
      <c r="G222" s="47">
        <f t="shared" si="110"/>
        <v>2265.9</v>
      </c>
      <c r="H222" s="47">
        <f>J222+L222+N222+P222</f>
        <v>0</v>
      </c>
      <c r="I222" s="47">
        <v>2265.9</v>
      </c>
      <c r="J222" s="47">
        <v>0</v>
      </c>
      <c r="K222" s="47">
        <v>0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55"/>
      <c r="R222" s="68"/>
    </row>
    <row r="223" spans="1:18" ht="45.75" customHeight="1">
      <c r="A223" s="88" t="s">
        <v>280</v>
      </c>
      <c r="B223" s="79" t="s">
        <v>114</v>
      </c>
      <c r="C223" s="79">
        <v>0.03</v>
      </c>
      <c r="D223" s="79" t="s">
        <v>2</v>
      </c>
      <c r="E223" s="79"/>
      <c r="F223" s="79">
        <v>2018</v>
      </c>
      <c r="G223" s="47">
        <f aca="true" t="shared" si="111" ref="G223:H228">I223+K223+M223+O223</f>
        <v>1600</v>
      </c>
      <c r="H223" s="47">
        <f t="shared" si="111"/>
        <v>0</v>
      </c>
      <c r="I223" s="47">
        <v>1600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8" t="s">
        <v>27</v>
      </c>
      <c r="R223" s="68"/>
    </row>
    <row r="224" spans="1:18" ht="45.75" customHeight="1">
      <c r="A224" s="88" t="s">
        <v>281</v>
      </c>
      <c r="B224" s="79" t="s">
        <v>119</v>
      </c>
      <c r="C224" s="79">
        <v>3.32</v>
      </c>
      <c r="D224" s="79" t="s">
        <v>2</v>
      </c>
      <c r="E224" s="79"/>
      <c r="F224" s="79">
        <v>2018</v>
      </c>
      <c r="G224" s="47">
        <f t="shared" si="111"/>
        <v>1494.7</v>
      </c>
      <c r="H224" s="47">
        <f t="shared" si="111"/>
        <v>0</v>
      </c>
      <c r="I224" s="47">
        <v>1494.7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8" t="s">
        <v>27</v>
      </c>
      <c r="R224" s="68"/>
    </row>
    <row r="225" spans="1:18" ht="45.75" customHeight="1">
      <c r="A225" s="88" t="s">
        <v>282</v>
      </c>
      <c r="B225" s="79" t="s">
        <v>120</v>
      </c>
      <c r="C225" s="79">
        <v>0.77</v>
      </c>
      <c r="D225" s="79" t="s">
        <v>2</v>
      </c>
      <c r="E225" s="79"/>
      <c r="F225" s="79">
        <v>2018</v>
      </c>
      <c r="G225" s="47">
        <f t="shared" si="111"/>
        <v>1500</v>
      </c>
      <c r="H225" s="47">
        <f t="shared" si="111"/>
        <v>0</v>
      </c>
      <c r="I225" s="47">
        <v>1500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8" t="s">
        <v>27</v>
      </c>
      <c r="R225" s="68"/>
    </row>
    <row r="226" spans="1:18" ht="45.75" customHeight="1">
      <c r="A226" s="88" t="s">
        <v>283</v>
      </c>
      <c r="B226" s="79" t="s">
        <v>121</v>
      </c>
      <c r="C226" s="79">
        <v>0.7</v>
      </c>
      <c r="D226" s="79" t="s">
        <v>2</v>
      </c>
      <c r="E226" s="79"/>
      <c r="F226" s="79">
        <v>2018</v>
      </c>
      <c r="G226" s="47">
        <f t="shared" si="111"/>
        <v>1500</v>
      </c>
      <c r="H226" s="47">
        <f t="shared" si="111"/>
        <v>0</v>
      </c>
      <c r="I226" s="47">
        <v>1500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8" t="s">
        <v>27</v>
      </c>
      <c r="R226" s="68"/>
    </row>
    <row r="227" spans="1:18" ht="34.5" customHeight="1">
      <c r="A227" s="88" t="s">
        <v>284</v>
      </c>
      <c r="B227" s="85" t="s">
        <v>54</v>
      </c>
      <c r="C227" s="85">
        <v>1</v>
      </c>
      <c r="D227" s="85" t="s">
        <v>3</v>
      </c>
      <c r="E227" s="85"/>
      <c r="F227" s="79">
        <v>2018</v>
      </c>
      <c r="G227" s="47">
        <f t="shared" si="111"/>
        <v>33517.6</v>
      </c>
      <c r="H227" s="47">
        <f t="shared" si="111"/>
        <v>0</v>
      </c>
      <c r="I227" s="47">
        <v>8379.4</v>
      </c>
      <c r="J227" s="47">
        <v>0</v>
      </c>
      <c r="K227" s="47">
        <v>0</v>
      </c>
      <c r="L227" s="47">
        <v>0</v>
      </c>
      <c r="M227" s="47">
        <v>25138.2</v>
      </c>
      <c r="N227" s="47">
        <v>0</v>
      </c>
      <c r="O227" s="47">
        <v>0</v>
      </c>
      <c r="P227" s="47">
        <v>0</v>
      </c>
      <c r="Q227" s="48"/>
      <c r="R227" s="68"/>
    </row>
    <row r="228" spans="1:18" ht="52.5" customHeight="1">
      <c r="A228" s="88" t="s">
        <v>285</v>
      </c>
      <c r="B228" s="85" t="s">
        <v>160</v>
      </c>
      <c r="C228" s="85">
        <v>0.44</v>
      </c>
      <c r="D228" s="85" t="s">
        <v>3</v>
      </c>
      <c r="E228" s="85"/>
      <c r="F228" s="79">
        <v>2018</v>
      </c>
      <c r="G228" s="47">
        <f t="shared" si="111"/>
        <v>11074.2</v>
      </c>
      <c r="H228" s="47">
        <f t="shared" si="111"/>
        <v>0</v>
      </c>
      <c r="I228" s="47">
        <v>11074.2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56" t="s">
        <v>388</v>
      </c>
      <c r="R228" s="68"/>
    </row>
    <row r="229" spans="1:18" ht="51" customHeight="1">
      <c r="A229" s="88" t="s">
        <v>286</v>
      </c>
      <c r="B229" s="85" t="s">
        <v>7</v>
      </c>
      <c r="C229" s="85">
        <v>0.94</v>
      </c>
      <c r="D229" s="85" t="s">
        <v>3</v>
      </c>
      <c r="E229" s="85"/>
      <c r="F229" s="79">
        <v>2018</v>
      </c>
      <c r="G229" s="47">
        <f aca="true" t="shared" si="112" ref="G229:G290">I229+K229+M229+O229</f>
        <v>23277.3</v>
      </c>
      <c r="H229" s="47">
        <f aca="true" t="shared" si="113" ref="H229:H290">J229+L229+N229+P229</f>
        <v>0</v>
      </c>
      <c r="I229" s="47">
        <v>5819.3</v>
      </c>
      <c r="J229" s="47">
        <v>0</v>
      </c>
      <c r="K229" s="47">
        <v>0</v>
      </c>
      <c r="L229" s="47">
        <v>0</v>
      </c>
      <c r="M229" s="47">
        <v>17458</v>
      </c>
      <c r="N229" s="47">
        <v>0</v>
      </c>
      <c r="O229" s="47">
        <v>0</v>
      </c>
      <c r="P229" s="47">
        <v>0</v>
      </c>
      <c r="Q229" s="48" t="s">
        <v>386</v>
      </c>
      <c r="R229" s="68"/>
    </row>
    <row r="230" spans="1:18" ht="51" customHeight="1">
      <c r="A230" s="88" t="s">
        <v>287</v>
      </c>
      <c r="B230" s="85" t="s">
        <v>381</v>
      </c>
      <c r="C230" s="85">
        <v>0.79</v>
      </c>
      <c r="D230" s="85" t="s">
        <v>3</v>
      </c>
      <c r="E230" s="85"/>
      <c r="F230" s="79">
        <v>2018</v>
      </c>
      <c r="G230" s="47">
        <f t="shared" si="112"/>
        <v>14812.6</v>
      </c>
      <c r="H230" s="47">
        <f t="shared" si="113"/>
        <v>0</v>
      </c>
      <c r="I230" s="47">
        <v>3703.1</v>
      </c>
      <c r="J230" s="47">
        <v>0</v>
      </c>
      <c r="K230" s="47">
        <v>0</v>
      </c>
      <c r="L230" s="47">
        <v>0</v>
      </c>
      <c r="M230" s="47">
        <v>11109.5</v>
      </c>
      <c r="N230" s="47">
        <v>0</v>
      </c>
      <c r="O230" s="47">
        <v>0</v>
      </c>
      <c r="P230" s="47">
        <v>0</v>
      </c>
      <c r="Q230" s="48" t="s">
        <v>387</v>
      </c>
      <c r="R230" s="68"/>
    </row>
    <row r="231" spans="1:18" ht="58.5" customHeight="1">
      <c r="A231" s="88" t="s">
        <v>288</v>
      </c>
      <c r="B231" s="85" t="s">
        <v>32</v>
      </c>
      <c r="C231" s="85">
        <v>0.4</v>
      </c>
      <c r="D231" s="85" t="s">
        <v>3</v>
      </c>
      <c r="E231" s="85"/>
      <c r="F231" s="79">
        <v>2018</v>
      </c>
      <c r="G231" s="47">
        <f t="shared" si="112"/>
        <v>13407</v>
      </c>
      <c r="H231" s="47">
        <f t="shared" si="113"/>
        <v>0</v>
      </c>
      <c r="I231" s="47">
        <v>3351.7</v>
      </c>
      <c r="J231" s="47">
        <v>0</v>
      </c>
      <c r="K231" s="47">
        <v>0</v>
      </c>
      <c r="L231" s="47">
        <v>0</v>
      </c>
      <c r="M231" s="47">
        <v>10055.3</v>
      </c>
      <c r="N231" s="47">
        <v>0</v>
      </c>
      <c r="O231" s="47">
        <v>0</v>
      </c>
      <c r="P231" s="47">
        <v>0</v>
      </c>
      <c r="Q231" s="48"/>
      <c r="R231" s="68"/>
    </row>
    <row r="232" spans="1:18" ht="38.25" customHeight="1">
      <c r="A232" s="88" t="s">
        <v>289</v>
      </c>
      <c r="B232" s="85" t="s">
        <v>9</v>
      </c>
      <c r="C232" s="108"/>
      <c r="D232" s="85" t="s">
        <v>3</v>
      </c>
      <c r="E232" s="85"/>
      <c r="F232" s="79">
        <v>2018</v>
      </c>
      <c r="G232" s="47">
        <f t="shared" si="112"/>
        <v>300000</v>
      </c>
      <c r="H232" s="47">
        <f t="shared" si="113"/>
        <v>0</v>
      </c>
      <c r="I232" s="47">
        <v>75000</v>
      </c>
      <c r="J232" s="47">
        <v>0</v>
      </c>
      <c r="K232" s="47">
        <v>0</v>
      </c>
      <c r="L232" s="47">
        <v>0</v>
      </c>
      <c r="M232" s="47">
        <v>225000</v>
      </c>
      <c r="N232" s="47">
        <v>0</v>
      </c>
      <c r="O232" s="47">
        <v>0</v>
      </c>
      <c r="P232" s="47">
        <v>0</v>
      </c>
      <c r="Q232" s="48"/>
      <c r="R232" s="68"/>
    </row>
    <row r="233" spans="1:18" ht="52.5" customHeight="1">
      <c r="A233" s="88" t="s">
        <v>290</v>
      </c>
      <c r="B233" s="79" t="s">
        <v>69</v>
      </c>
      <c r="C233" s="79">
        <v>6</v>
      </c>
      <c r="D233" s="79" t="s">
        <v>2</v>
      </c>
      <c r="E233" s="79"/>
      <c r="F233" s="79">
        <v>2018</v>
      </c>
      <c r="G233" s="47">
        <f>I233+K233+M233+O233</f>
        <v>8400</v>
      </c>
      <c r="H233" s="47">
        <f>J233+L233+N233+P233</f>
        <v>0</v>
      </c>
      <c r="I233" s="47">
        <v>8400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8" t="s">
        <v>34</v>
      </c>
      <c r="R233" s="68"/>
    </row>
    <row r="234" spans="1:18" ht="38.25">
      <c r="A234" s="88" t="s">
        <v>291</v>
      </c>
      <c r="B234" s="79" t="s">
        <v>33</v>
      </c>
      <c r="C234" s="79">
        <v>2</v>
      </c>
      <c r="D234" s="79" t="s">
        <v>2</v>
      </c>
      <c r="E234" s="79"/>
      <c r="F234" s="79">
        <v>2018</v>
      </c>
      <c r="G234" s="47">
        <f aca="true" t="shared" si="114" ref="G234:G249">I234+K234+M234+O234</f>
        <v>2500</v>
      </c>
      <c r="H234" s="47">
        <f t="shared" si="113"/>
        <v>0</v>
      </c>
      <c r="I234" s="47">
        <v>2500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8" t="s">
        <v>34</v>
      </c>
      <c r="R234" s="68"/>
    </row>
    <row r="235" spans="1:18" ht="38.25">
      <c r="A235" s="88" t="s">
        <v>292</v>
      </c>
      <c r="B235" s="79" t="s">
        <v>21</v>
      </c>
      <c r="C235" s="79">
        <v>4</v>
      </c>
      <c r="D235" s="79" t="s">
        <v>2</v>
      </c>
      <c r="E235" s="79"/>
      <c r="F235" s="79">
        <v>2018</v>
      </c>
      <c r="G235" s="47">
        <f t="shared" si="114"/>
        <v>10000</v>
      </c>
      <c r="H235" s="47">
        <f t="shared" si="113"/>
        <v>0</v>
      </c>
      <c r="I235" s="47">
        <v>10000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8" t="s">
        <v>34</v>
      </c>
      <c r="R235" s="68"/>
    </row>
    <row r="236" spans="1:18" ht="51" customHeight="1">
      <c r="A236" s="88" t="s">
        <v>293</v>
      </c>
      <c r="B236" s="79" t="s">
        <v>55</v>
      </c>
      <c r="C236" s="79">
        <v>0.08955</v>
      </c>
      <c r="D236" s="79" t="s">
        <v>3</v>
      </c>
      <c r="E236" s="79"/>
      <c r="F236" s="79">
        <v>2018</v>
      </c>
      <c r="G236" s="47">
        <f t="shared" si="114"/>
        <v>34449.2</v>
      </c>
      <c r="H236" s="47">
        <f t="shared" si="113"/>
        <v>0</v>
      </c>
      <c r="I236" s="47">
        <v>8612.3</v>
      </c>
      <c r="J236" s="47">
        <v>0</v>
      </c>
      <c r="K236" s="47">
        <v>0</v>
      </c>
      <c r="L236" s="47">
        <v>0</v>
      </c>
      <c r="M236" s="47">
        <v>25836.9</v>
      </c>
      <c r="N236" s="47">
        <v>0</v>
      </c>
      <c r="O236" s="47">
        <v>0</v>
      </c>
      <c r="P236" s="47">
        <v>0</v>
      </c>
      <c r="Q236" s="56" t="s">
        <v>389</v>
      </c>
      <c r="R236" s="68"/>
    </row>
    <row r="237" spans="1:18" ht="15.75" customHeight="1">
      <c r="A237" s="92" t="s">
        <v>294</v>
      </c>
      <c r="B237" s="93" t="s">
        <v>208</v>
      </c>
      <c r="C237" s="93">
        <v>0.067</v>
      </c>
      <c r="D237" s="79" t="s">
        <v>2</v>
      </c>
      <c r="E237" s="79"/>
      <c r="F237" s="79">
        <v>2018</v>
      </c>
      <c r="G237" s="47">
        <f t="shared" si="114"/>
        <v>5000</v>
      </c>
      <c r="H237" s="47">
        <f t="shared" si="113"/>
        <v>0</v>
      </c>
      <c r="I237" s="47">
        <v>5000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8"/>
      <c r="R237" s="68"/>
    </row>
    <row r="238" spans="1:18" ht="38.25" customHeight="1">
      <c r="A238" s="92"/>
      <c r="B238" s="93"/>
      <c r="C238" s="93"/>
      <c r="D238" s="79" t="s">
        <v>3</v>
      </c>
      <c r="E238" s="79"/>
      <c r="F238" s="79">
        <v>2018</v>
      </c>
      <c r="G238" s="47">
        <f t="shared" si="114"/>
        <v>115000</v>
      </c>
      <c r="H238" s="47">
        <f t="shared" si="113"/>
        <v>0</v>
      </c>
      <c r="I238" s="47">
        <v>115000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8" t="s">
        <v>170</v>
      </c>
      <c r="R238" s="68"/>
    </row>
    <row r="239" spans="1:18" ht="57" customHeight="1">
      <c r="A239" s="88" t="s">
        <v>295</v>
      </c>
      <c r="B239" s="79" t="s">
        <v>171</v>
      </c>
      <c r="C239" s="79">
        <v>0.036</v>
      </c>
      <c r="D239" s="79" t="s">
        <v>2</v>
      </c>
      <c r="E239" s="79"/>
      <c r="F239" s="79">
        <v>2018</v>
      </c>
      <c r="G239" s="47">
        <f t="shared" si="114"/>
        <v>5600</v>
      </c>
      <c r="H239" s="47">
        <f t="shared" si="113"/>
        <v>0</v>
      </c>
      <c r="I239" s="47">
        <v>5600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  <c r="O239" s="47">
        <v>0</v>
      </c>
      <c r="P239" s="47">
        <v>0</v>
      </c>
      <c r="Q239" s="48"/>
      <c r="R239" s="68"/>
    </row>
    <row r="240" spans="1:18" ht="38.25">
      <c r="A240" s="88" t="s">
        <v>296</v>
      </c>
      <c r="B240" s="79" t="s">
        <v>201</v>
      </c>
      <c r="C240" s="79">
        <v>0.136</v>
      </c>
      <c r="D240" s="79" t="s">
        <v>2</v>
      </c>
      <c r="E240" s="79"/>
      <c r="F240" s="79">
        <v>2018</v>
      </c>
      <c r="G240" s="47">
        <f t="shared" si="114"/>
        <v>10000</v>
      </c>
      <c r="H240" s="47">
        <f t="shared" si="113"/>
        <v>0</v>
      </c>
      <c r="I240" s="47">
        <v>10000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8" t="s">
        <v>170</v>
      </c>
      <c r="R240" s="68"/>
    </row>
    <row r="241" spans="1:18" ht="38.25">
      <c r="A241" s="88" t="s">
        <v>297</v>
      </c>
      <c r="B241" s="79" t="s">
        <v>202</v>
      </c>
      <c r="C241" s="79">
        <v>0.129</v>
      </c>
      <c r="D241" s="79" t="s">
        <v>2</v>
      </c>
      <c r="E241" s="79"/>
      <c r="F241" s="79">
        <v>2018</v>
      </c>
      <c r="G241" s="47">
        <f t="shared" si="114"/>
        <v>10000</v>
      </c>
      <c r="H241" s="47">
        <f t="shared" si="113"/>
        <v>0</v>
      </c>
      <c r="I241" s="47">
        <v>10000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7">
        <v>0</v>
      </c>
      <c r="Q241" s="48" t="s">
        <v>170</v>
      </c>
      <c r="R241" s="68"/>
    </row>
    <row r="242" spans="1:18" ht="38.25">
      <c r="A242" s="88" t="s">
        <v>298</v>
      </c>
      <c r="B242" s="79" t="s">
        <v>203</v>
      </c>
      <c r="C242" s="79">
        <v>0.134</v>
      </c>
      <c r="D242" s="79" t="s">
        <v>2</v>
      </c>
      <c r="E242" s="79"/>
      <c r="F242" s="79">
        <v>2018</v>
      </c>
      <c r="G242" s="47">
        <f t="shared" si="114"/>
        <v>10000</v>
      </c>
      <c r="H242" s="47">
        <f t="shared" si="113"/>
        <v>0</v>
      </c>
      <c r="I242" s="47">
        <v>10000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8" t="s">
        <v>170</v>
      </c>
      <c r="R242" s="68"/>
    </row>
    <row r="243" spans="1:18" ht="38.25">
      <c r="A243" s="88" t="s">
        <v>299</v>
      </c>
      <c r="B243" s="79" t="s">
        <v>204</v>
      </c>
      <c r="C243" s="79">
        <v>0.023</v>
      </c>
      <c r="D243" s="79" t="s">
        <v>2</v>
      </c>
      <c r="E243" s="79"/>
      <c r="F243" s="79">
        <v>2018</v>
      </c>
      <c r="G243" s="47">
        <f t="shared" si="114"/>
        <v>2000</v>
      </c>
      <c r="H243" s="47">
        <f t="shared" si="113"/>
        <v>0</v>
      </c>
      <c r="I243" s="47">
        <v>2000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8" t="s">
        <v>170</v>
      </c>
      <c r="R243" s="68"/>
    </row>
    <row r="244" spans="1:18" ht="38.25">
      <c r="A244" s="88" t="s">
        <v>300</v>
      </c>
      <c r="B244" s="79" t="s">
        <v>206</v>
      </c>
      <c r="C244" s="79">
        <v>0.037</v>
      </c>
      <c r="D244" s="79" t="s">
        <v>2</v>
      </c>
      <c r="E244" s="79"/>
      <c r="F244" s="79">
        <v>2018</v>
      </c>
      <c r="G244" s="47">
        <f t="shared" si="114"/>
        <v>5000</v>
      </c>
      <c r="H244" s="47">
        <f t="shared" si="113"/>
        <v>0</v>
      </c>
      <c r="I244" s="47">
        <v>5000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8" t="s">
        <v>170</v>
      </c>
      <c r="R244" s="68"/>
    </row>
    <row r="245" spans="1:18" ht="38.25">
      <c r="A245" s="88" t="s">
        <v>301</v>
      </c>
      <c r="B245" s="79" t="s">
        <v>179</v>
      </c>
      <c r="C245" s="79">
        <v>0.026</v>
      </c>
      <c r="D245" s="79" t="s">
        <v>2</v>
      </c>
      <c r="E245" s="79"/>
      <c r="F245" s="79">
        <v>2018</v>
      </c>
      <c r="G245" s="47">
        <f t="shared" si="114"/>
        <v>2000</v>
      </c>
      <c r="H245" s="47">
        <f t="shared" si="113"/>
        <v>0</v>
      </c>
      <c r="I245" s="47">
        <v>2000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8" t="s">
        <v>170</v>
      </c>
      <c r="R245" s="68"/>
    </row>
    <row r="246" spans="1:18" ht="47.25">
      <c r="A246" s="88" t="s">
        <v>302</v>
      </c>
      <c r="B246" s="79" t="s">
        <v>180</v>
      </c>
      <c r="C246" s="79">
        <v>0.05</v>
      </c>
      <c r="D246" s="79" t="s">
        <v>2</v>
      </c>
      <c r="E246" s="79"/>
      <c r="F246" s="79">
        <v>2018</v>
      </c>
      <c r="G246" s="47">
        <f>I246+K246+M246+O246</f>
        <v>500</v>
      </c>
      <c r="H246" s="47">
        <f>J246+L246+N246+P246</f>
        <v>0</v>
      </c>
      <c r="I246" s="47">
        <v>500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8" t="s">
        <v>170</v>
      </c>
      <c r="R246" s="68"/>
    </row>
    <row r="247" spans="1:18" ht="38.25">
      <c r="A247" s="88" t="s">
        <v>303</v>
      </c>
      <c r="B247" s="79" t="s">
        <v>214</v>
      </c>
      <c r="C247" s="79">
        <v>0.57</v>
      </c>
      <c r="D247" s="79" t="s">
        <v>2</v>
      </c>
      <c r="E247" s="79"/>
      <c r="F247" s="79">
        <v>2018</v>
      </c>
      <c r="G247" s="47">
        <f>I247+K247+M247+O247</f>
        <v>1304.3</v>
      </c>
      <c r="H247" s="47">
        <f>J247+L247+N247+P247</f>
        <v>0</v>
      </c>
      <c r="I247" s="47">
        <v>1304.3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8" t="s">
        <v>170</v>
      </c>
      <c r="R247" s="68"/>
    </row>
    <row r="248" spans="1:18" ht="35.25" customHeight="1">
      <c r="A248" s="92" t="s">
        <v>304</v>
      </c>
      <c r="B248" s="93" t="s">
        <v>10</v>
      </c>
      <c r="C248" s="93">
        <v>1.75</v>
      </c>
      <c r="D248" s="79" t="s">
        <v>2</v>
      </c>
      <c r="E248" s="79"/>
      <c r="F248" s="72">
        <v>2018</v>
      </c>
      <c r="G248" s="47">
        <f t="shared" si="114"/>
        <v>6000</v>
      </c>
      <c r="H248" s="47">
        <f t="shared" si="113"/>
        <v>0</v>
      </c>
      <c r="I248" s="47">
        <v>6000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0</v>
      </c>
      <c r="Q248" s="49"/>
      <c r="R248" s="68"/>
    </row>
    <row r="249" spans="1:18" ht="45" customHeight="1">
      <c r="A249" s="92"/>
      <c r="B249" s="93"/>
      <c r="C249" s="93"/>
      <c r="D249" s="79" t="s">
        <v>3</v>
      </c>
      <c r="E249" s="79"/>
      <c r="F249" s="72">
        <v>2018</v>
      </c>
      <c r="G249" s="47">
        <f t="shared" si="114"/>
        <v>129678.7</v>
      </c>
      <c r="H249" s="47">
        <f t="shared" si="113"/>
        <v>0</v>
      </c>
      <c r="I249" s="47">
        <v>32419.7</v>
      </c>
      <c r="J249" s="47">
        <v>0</v>
      </c>
      <c r="K249" s="47">
        <v>0</v>
      </c>
      <c r="L249" s="47">
        <v>0</v>
      </c>
      <c r="M249" s="47">
        <v>97259</v>
      </c>
      <c r="N249" s="47">
        <v>0</v>
      </c>
      <c r="O249" s="47">
        <v>0</v>
      </c>
      <c r="P249" s="47">
        <v>0</v>
      </c>
      <c r="Q249" s="49"/>
      <c r="R249" s="68"/>
    </row>
    <row r="250" spans="1:18" ht="48" customHeight="1">
      <c r="A250" s="88" t="s">
        <v>305</v>
      </c>
      <c r="B250" s="79" t="s">
        <v>24</v>
      </c>
      <c r="C250" s="79">
        <v>0.221</v>
      </c>
      <c r="D250" s="79" t="s">
        <v>2</v>
      </c>
      <c r="E250" s="79"/>
      <c r="F250" s="79">
        <v>2018</v>
      </c>
      <c r="G250" s="47">
        <f t="shared" si="112"/>
        <v>1000</v>
      </c>
      <c r="H250" s="47">
        <f t="shared" si="113"/>
        <v>0</v>
      </c>
      <c r="I250" s="47">
        <v>1000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8" t="s">
        <v>34</v>
      </c>
      <c r="R250" s="68"/>
    </row>
    <row r="251" spans="1:18" ht="42" customHeight="1">
      <c r="A251" s="88" t="s">
        <v>306</v>
      </c>
      <c r="B251" s="79" t="s">
        <v>13</v>
      </c>
      <c r="C251" s="79">
        <v>5.22</v>
      </c>
      <c r="D251" s="79" t="s">
        <v>2</v>
      </c>
      <c r="E251" s="79"/>
      <c r="F251" s="79">
        <v>2018</v>
      </c>
      <c r="G251" s="47">
        <f t="shared" si="112"/>
        <v>5500</v>
      </c>
      <c r="H251" s="47">
        <f t="shared" si="113"/>
        <v>0</v>
      </c>
      <c r="I251" s="47">
        <v>5500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8" t="s">
        <v>34</v>
      </c>
      <c r="R251" s="68"/>
    </row>
    <row r="252" spans="1:18" ht="45.75" customHeight="1">
      <c r="A252" s="88" t="s">
        <v>307</v>
      </c>
      <c r="B252" s="79" t="s">
        <v>116</v>
      </c>
      <c r="C252" s="79">
        <v>1.5</v>
      </c>
      <c r="D252" s="79" t="s">
        <v>2</v>
      </c>
      <c r="E252" s="79"/>
      <c r="F252" s="79">
        <v>2018</v>
      </c>
      <c r="G252" s="47">
        <f aca="true" t="shared" si="115" ref="G252:H255">I252+K252+M252+O252</f>
        <v>2100</v>
      </c>
      <c r="H252" s="47">
        <f t="shared" si="115"/>
        <v>0</v>
      </c>
      <c r="I252" s="47">
        <v>2100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8" t="s">
        <v>27</v>
      </c>
      <c r="R252" s="68"/>
    </row>
    <row r="253" spans="1:18" ht="45.75" customHeight="1">
      <c r="A253" s="88" t="s">
        <v>308</v>
      </c>
      <c r="B253" s="79" t="s">
        <v>113</v>
      </c>
      <c r="C253" s="79">
        <v>0.73</v>
      </c>
      <c r="D253" s="79" t="s">
        <v>2</v>
      </c>
      <c r="E253" s="79"/>
      <c r="F253" s="79">
        <v>2018</v>
      </c>
      <c r="G253" s="47">
        <f t="shared" si="115"/>
        <v>1500</v>
      </c>
      <c r="H253" s="47">
        <f t="shared" si="115"/>
        <v>0</v>
      </c>
      <c r="I253" s="47">
        <v>1500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8" t="s">
        <v>27</v>
      </c>
      <c r="R253" s="68"/>
    </row>
    <row r="254" spans="1:18" ht="57" customHeight="1">
      <c r="A254" s="88" t="s">
        <v>309</v>
      </c>
      <c r="B254" s="85" t="s">
        <v>8</v>
      </c>
      <c r="C254" s="85">
        <v>1.5</v>
      </c>
      <c r="D254" s="85" t="s">
        <v>3</v>
      </c>
      <c r="E254" s="85"/>
      <c r="F254" s="72">
        <v>2018</v>
      </c>
      <c r="G254" s="47">
        <f t="shared" si="115"/>
        <v>100597.4</v>
      </c>
      <c r="H254" s="47">
        <f t="shared" si="115"/>
        <v>0</v>
      </c>
      <c r="I254" s="47">
        <v>25149.4</v>
      </c>
      <c r="J254" s="47">
        <v>0</v>
      </c>
      <c r="K254" s="47">
        <v>0</v>
      </c>
      <c r="L254" s="47">
        <v>0</v>
      </c>
      <c r="M254" s="47">
        <v>75448</v>
      </c>
      <c r="N254" s="47">
        <v>0</v>
      </c>
      <c r="O254" s="47">
        <v>0</v>
      </c>
      <c r="P254" s="47">
        <v>0</v>
      </c>
      <c r="Q254" s="56" t="s">
        <v>384</v>
      </c>
      <c r="R254" s="68"/>
    </row>
    <row r="255" spans="1:18" ht="57" customHeight="1">
      <c r="A255" s="88" t="s">
        <v>310</v>
      </c>
      <c r="B255" s="85" t="s">
        <v>88</v>
      </c>
      <c r="C255" s="85">
        <v>1.4</v>
      </c>
      <c r="D255" s="85" t="s">
        <v>3</v>
      </c>
      <c r="E255" s="85"/>
      <c r="F255" s="72">
        <v>2018</v>
      </c>
      <c r="G255" s="47">
        <f t="shared" si="115"/>
        <v>70351.5</v>
      </c>
      <c r="H255" s="47">
        <f t="shared" si="115"/>
        <v>0</v>
      </c>
      <c r="I255" s="47">
        <v>17587.9</v>
      </c>
      <c r="J255" s="47">
        <v>0</v>
      </c>
      <c r="K255" s="47">
        <v>0</v>
      </c>
      <c r="L255" s="47">
        <v>0</v>
      </c>
      <c r="M255" s="47">
        <v>52763.6</v>
      </c>
      <c r="N255" s="47">
        <v>0</v>
      </c>
      <c r="O255" s="47">
        <v>0</v>
      </c>
      <c r="P255" s="47">
        <v>0</v>
      </c>
      <c r="Q255" s="48" t="s">
        <v>385</v>
      </c>
      <c r="R255" s="68"/>
    </row>
    <row r="256" spans="1:18" ht="38.25" customHeight="1">
      <c r="A256" s="88" t="s">
        <v>311</v>
      </c>
      <c r="B256" s="79" t="s">
        <v>45</v>
      </c>
      <c r="C256" s="79">
        <v>1.4</v>
      </c>
      <c r="D256" s="79" t="s">
        <v>2</v>
      </c>
      <c r="E256" s="79"/>
      <c r="F256" s="79">
        <v>2018</v>
      </c>
      <c r="G256" s="47">
        <f t="shared" si="112"/>
        <v>1700</v>
      </c>
      <c r="H256" s="47">
        <f t="shared" si="113"/>
        <v>0</v>
      </c>
      <c r="I256" s="47">
        <v>1700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8" t="s">
        <v>34</v>
      </c>
      <c r="R256" s="68"/>
    </row>
    <row r="257" spans="1:18" ht="38.25" customHeight="1">
      <c r="A257" s="88" t="s">
        <v>312</v>
      </c>
      <c r="B257" s="79" t="s">
        <v>174</v>
      </c>
      <c r="C257" s="79">
        <v>0.7</v>
      </c>
      <c r="D257" s="79" t="s">
        <v>2</v>
      </c>
      <c r="E257" s="79"/>
      <c r="F257" s="79">
        <v>2018</v>
      </c>
      <c r="G257" s="47">
        <f t="shared" si="112"/>
        <v>980</v>
      </c>
      <c r="H257" s="47">
        <f t="shared" si="113"/>
        <v>0</v>
      </c>
      <c r="I257" s="47">
        <v>980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8" t="s">
        <v>34</v>
      </c>
      <c r="R257" s="68"/>
    </row>
    <row r="258" spans="1:18" ht="38.25" customHeight="1">
      <c r="A258" s="88" t="s">
        <v>313</v>
      </c>
      <c r="B258" s="79" t="s">
        <v>175</v>
      </c>
      <c r="C258" s="79">
        <v>6.68</v>
      </c>
      <c r="D258" s="79" t="s">
        <v>2</v>
      </c>
      <c r="E258" s="79"/>
      <c r="F258" s="79">
        <v>2018</v>
      </c>
      <c r="G258" s="47">
        <f t="shared" si="112"/>
        <v>9352</v>
      </c>
      <c r="H258" s="47">
        <f t="shared" si="113"/>
        <v>0</v>
      </c>
      <c r="I258" s="47">
        <v>9352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8" t="s">
        <v>34</v>
      </c>
      <c r="R258" s="68"/>
    </row>
    <row r="259" spans="1:18" ht="38.25" customHeight="1">
      <c r="A259" s="88" t="s">
        <v>314</v>
      </c>
      <c r="B259" s="79" t="s">
        <v>48</v>
      </c>
      <c r="C259" s="79">
        <v>0.22</v>
      </c>
      <c r="D259" s="79" t="s">
        <v>2</v>
      </c>
      <c r="E259" s="79"/>
      <c r="F259" s="79">
        <v>2019</v>
      </c>
      <c r="G259" s="47">
        <f t="shared" si="112"/>
        <v>500</v>
      </c>
      <c r="H259" s="47">
        <f t="shared" si="113"/>
        <v>0</v>
      </c>
      <c r="I259" s="47">
        <v>500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8" t="s">
        <v>34</v>
      </c>
      <c r="R259" s="68"/>
    </row>
    <row r="260" spans="1:18" ht="38.25" customHeight="1">
      <c r="A260" s="88" t="s">
        <v>315</v>
      </c>
      <c r="B260" s="79" t="s">
        <v>49</v>
      </c>
      <c r="C260" s="79">
        <v>0.7</v>
      </c>
      <c r="D260" s="79" t="s">
        <v>2</v>
      </c>
      <c r="E260" s="79"/>
      <c r="F260" s="79">
        <v>2019</v>
      </c>
      <c r="G260" s="47">
        <f t="shared" si="112"/>
        <v>1000</v>
      </c>
      <c r="H260" s="47">
        <f t="shared" si="113"/>
        <v>0</v>
      </c>
      <c r="I260" s="47">
        <v>1000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8" t="s">
        <v>34</v>
      </c>
      <c r="R260" s="68"/>
    </row>
    <row r="261" spans="1:18" ht="38.25" customHeight="1">
      <c r="A261" s="88" t="s">
        <v>316</v>
      </c>
      <c r="B261" s="79" t="s">
        <v>43</v>
      </c>
      <c r="C261" s="79">
        <v>0.9</v>
      </c>
      <c r="D261" s="79" t="s">
        <v>2</v>
      </c>
      <c r="E261" s="79"/>
      <c r="F261" s="79">
        <v>2019</v>
      </c>
      <c r="G261" s="47">
        <f>I261+K261+M261+O261</f>
        <v>1400</v>
      </c>
      <c r="H261" s="47">
        <f>J261+L261+N261+P261</f>
        <v>0</v>
      </c>
      <c r="I261" s="47">
        <v>1400</v>
      </c>
      <c r="J261" s="47">
        <v>0</v>
      </c>
      <c r="K261" s="47">
        <v>0</v>
      </c>
      <c r="L261" s="47">
        <v>0</v>
      </c>
      <c r="M261" s="47">
        <v>0</v>
      </c>
      <c r="N261" s="47">
        <v>0</v>
      </c>
      <c r="O261" s="47">
        <v>0</v>
      </c>
      <c r="P261" s="47">
        <v>0</v>
      </c>
      <c r="Q261" s="48" t="s">
        <v>34</v>
      </c>
      <c r="R261" s="68"/>
    </row>
    <row r="262" spans="1:18" ht="47.25" customHeight="1">
      <c r="A262" s="88" t="s">
        <v>317</v>
      </c>
      <c r="B262" s="79" t="s">
        <v>46</v>
      </c>
      <c r="C262" s="79">
        <f>1.3+1.8+1.1+0.7+0.7+0.4+0.7</f>
        <v>6.700000000000001</v>
      </c>
      <c r="D262" s="79" t="s">
        <v>2</v>
      </c>
      <c r="E262" s="79"/>
      <c r="F262" s="79">
        <v>2019</v>
      </c>
      <c r="G262" s="47">
        <f>I262+K262+M262+O262</f>
        <v>11000</v>
      </c>
      <c r="H262" s="47">
        <f>J262+L262+N262+P262</f>
        <v>0</v>
      </c>
      <c r="I262" s="47">
        <v>11000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8" t="s">
        <v>34</v>
      </c>
      <c r="R262" s="68"/>
    </row>
    <row r="263" spans="1:18" ht="38.25" customHeight="1">
      <c r="A263" s="88" t="s">
        <v>318</v>
      </c>
      <c r="B263" s="79" t="s">
        <v>50</v>
      </c>
      <c r="C263" s="79">
        <v>0.8</v>
      </c>
      <c r="D263" s="79" t="s">
        <v>2</v>
      </c>
      <c r="E263" s="79"/>
      <c r="F263" s="79">
        <v>2019</v>
      </c>
      <c r="G263" s="47">
        <f t="shared" si="112"/>
        <v>1000</v>
      </c>
      <c r="H263" s="47">
        <f t="shared" si="113"/>
        <v>0</v>
      </c>
      <c r="I263" s="47">
        <v>1000</v>
      </c>
      <c r="J263" s="47">
        <v>0</v>
      </c>
      <c r="K263" s="47">
        <v>0</v>
      </c>
      <c r="L263" s="47">
        <v>0</v>
      </c>
      <c r="M263" s="47">
        <v>0</v>
      </c>
      <c r="N263" s="47">
        <v>0</v>
      </c>
      <c r="O263" s="47">
        <v>0</v>
      </c>
      <c r="P263" s="47">
        <v>0</v>
      </c>
      <c r="Q263" s="48" t="s">
        <v>34</v>
      </c>
      <c r="R263" s="68"/>
    </row>
    <row r="264" spans="1:18" ht="38.25" customHeight="1">
      <c r="A264" s="88" t="s">
        <v>319</v>
      </c>
      <c r="B264" s="79" t="s">
        <v>51</v>
      </c>
      <c r="C264" s="79">
        <v>0.25</v>
      </c>
      <c r="D264" s="79" t="s">
        <v>2</v>
      </c>
      <c r="E264" s="79"/>
      <c r="F264" s="79">
        <v>2019</v>
      </c>
      <c r="G264" s="47">
        <f t="shared" si="112"/>
        <v>500</v>
      </c>
      <c r="H264" s="47">
        <f t="shared" si="113"/>
        <v>0</v>
      </c>
      <c r="I264" s="47">
        <v>500</v>
      </c>
      <c r="J264" s="47">
        <v>0</v>
      </c>
      <c r="K264" s="47">
        <v>0</v>
      </c>
      <c r="L264" s="47">
        <v>0</v>
      </c>
      <c r="M264" s="47">
        <v>0</v>
      </c>
      <c r="N264" s="47">
        <v>0</v>
      </c>
      <c r="O264" s="47">
        <v>0</v>
      </c>
      <c r="P264" s="47">
        <v>0</v>
      </c>
      <c r="Q264" s="48" t="s">
        <v>34</v>
      </c>
      <c r="R264" s="68"/>
    </row>
    <row r="265" spans="1:18" ht="38.25" customHeight="1">
      <c r="A265" s="88" t="s">
        <v>320</v>
      </c>
      <c r="B265" s="79" t="s">
        <v>52</v>
      </c>
      <c r="C265" s="79">
        <v>0.25</v>
      </c>
      <c r="D265" s="79" t="s">
        <v>2</v>
      </c>
      <c r="E265" s="79"/>
      <c r="F265" s="79">
        <v>2019</v>
      </c>
      <c r="G265" s="47">
        <f t="shared" si="112"/>
        <v>500</v>
      </c>
      <c r="H265" s="47">
        <f t="shared" si="113"/>
        <v>0</v>
      </c>
      <c r="I265" s="47">
        <v>500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8" t="s">
        <v>34</v>
      </c>
      <c r="R265" s="68"/>
    </row>
    <row r="266" spans="1:18" ht="38.25" customHeight="1">
      <c r="A266" s="88" t="s">
        <v>321</v>
      </c>
      <c r="B266" s="79" t="s">
        <v>11</v>
      </c>
      <c r="C266" s="79">
        <v>2.87</v>
      </c>
      <c r="D266" s="79" t="s">
        <v>2</v>
      </c>
      <c r="E266" s="79"/>
      <c r="F266" s="79">
        <v>2019</v>
      </c>
      <c r="G266" s="47">
        <f t="shared" si="112"/>
        <v>3220</v>
      </c>
      <c r="H266" s="47">
        <f t="shared" si="113"/>
        <v>0</v>
      </c>
      <c r="I266" s="47">
        <v>3220</v>
      </c>
      <c r="J266" s="47">
        <v>0</v>
      </c>
      <c r="K266" s="47">
        <v>0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48" t="s">
        <v>34</v>
      </c>
      <c r="R266" s="68"/>
    </row>
    <row r="267" spans="1:18" ht="45" customHeight="1">
      <c r="A267" s="88" t="s">
        <v>322</v>
      </c>
      <c r="B267" s="79" t="s">
        <v>12</v>
      </c>
      <c r="C267" s="79">
        <v>1.11</v>
      </c>
      <c r="D267" s="79" t="s">
        <v>2</v>
      </c>
      <c r="E267" s="79"/>
      <c r="F267" s="79">
        <v>2019</v>
      </c>
      <c r="G267" s="47">
        <f t="shared" si="112"/>
        <v>2500</v>
      </c>
      <c r="H267" s="47">
        <f t="shared" si="113"/>
        <v>0</v>
      </c>
      <c r="I267" s="47">
        <v>2500</v>
      </c>
      <c r="J267" s="47">
        <v>0</v>
      </c>
      <c r="K267" s="47">
        <v>0</v>
      </c>
      <c r="L267" s="47">
        <v>0</v>
      </c>
      <c r="M267" s="47">
        <v>0</v>
      </c>
      <c r="N267" s="47">
        <v>0</v>
      </c>
      <c r="O267" s="47">
        <v>0</v>
      </c>
      <c r="P267" s="47">
        <v>0</v>
      </c>
      <c r="Q267" s="48" t="s">
        <v>34</v>
      </c>
      <c r="R267" s="68"/>
    </row>
    <row r="268" spans="1:18" ht="49.5" customHeight="1">
      <c r="A268" s="88" t="s">
        <v>323</v>
      </c>
      <c r="B268" s="79" t="s">
        <v>14</v>
      </c>
      <c r="C268" s="79">
        <v>1.78</v>
      </c>
      <c r="D268" s="79" t="s">
        <v>2</v>
      </c>
      <c r="E268" s="79"/>
      <c r="F268" s="79">
        <v>2019</v>
      </c>
      <c r="G268" s="47">
        <f t="shared" si="112"/>
        <v>2200</v>
      </c>
      <c r="H268" s="47">
        <f t="shared" si="113"/>
        <v>0</v>
      </c>
      <c r="I268" s="47">
        <v>2200</v>
      </c>
      <c r="J268" s="47">
        <v>0</v>
      </c>
      <c r="K268" s="47">
        <v>0</v>
      </c>
      <c r="L268" s="47">
        <v>0</v>
      </c>
      <c r="M268" s="47">
        <v>0</v>
      </c>
      <c r="N268" s="47">
        <v>0</v>
      </c>
      <c r="O268" s="47">
        <v>0</v>
      </c>
      <c r="P268" s="47">
        <v>0</v>
      </c>
      <c r="Q268" s="48" t="s">
        <v>34</v>
      </c>
      <c r="R268" s="68"/>
    </row>
    <row r="269" spans="1:18" ht="45.75" customHeight="1">
      <c r="A269" s="88" t="s">
        <v>324</v>
      </c>
      <c r="B269" s="79" t="s">
        <v>15</v>
      </c>
      <c r="C269" s="79">
        <v>2</v>
      </c>
      <c r="D269" s="79" t="s">
        <v>2</v>
      </c>
      <c r="E269" s="79"/>
      <c r="F269" s="79">
        <v>2019</v>
      </c>
      <c r="G269" s="47">
        <f t="shared" si="112"/>
        <v>1800</v>
      </c>
      <c r="H269" s="47">
        <f t="shared" si="113"/>
        <v>0</v>
      </c>
      <c r="I269" s="47">
        <v>1800</v>
      </c>
      <c r="J269" s="47"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0</v>
      </c>
      <c r="Q269" s="48" t="s">
        <v>34</v>
      </c>
      <c r="R269" s="68"/>
    </row>
    <row r="270" spans="1:18" ht="38.25" customHeight="1">
      <c r="A270" s="88" t="s">
        <v>325</v>
      </c>
      <c r="B270" s="79" t="s">
        <v>16</v>
      </c>
      <c r="C270" s="79">
        <v>2.56</v>
      </c>
      <c r="D270" s="79" t="s">
        <v>2</v>
      </c>
      <c r="E270" s="79"/>
      <c r="F270" s="79">
        <v>2019</v>
      </c>
      <c r="G270" s="47">
        <f t="shared" si="112"/>
        <v>2300</v>
      </c>
      <c r="H270" s="47">
        <f t="shared" si="113"/>
        <v>0</v>
      </c>
      <c r="I270" s="47">
        <v>2300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0</v>
      </c>
      <c r="Q270" s="48" t="s">
        <v>34</v>
      </c>
      <c r="R270" s="68"/>
    </row>
    <row r="271" spans="1:18" ht="38.25" customHeight="1">
      <c r="A271" s="88" t="s">
        <v>326</v>
      </c>
      <c r="B271" s="79" t="s">
        <v>17</v>
      </c>
      <c r="C271" s="79">
        <v>2.8</v>
      </c>
      <c r="D271" s="79" t="s">
        <v>2</v>
      </c>
      <c r="E271" s="79"/>
      <c r="F271" s="79">
        <v>2019</v>
      </c>
      <c r="G271" s="47">
        <f t="shared" si="112"/>
        <v>2000</v>
      </c>
      <c r="H271" s="47">
        <f t="shared" si="113"/>
        <v>0</v>
      </c>
      <c r="I271" s="47">
        <v>2000</v>
      </c>
      <c r="J271" s="47">
        <v>0</v>
      </c>
      <c r="K271" s="47">
        <v>0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8" t="s">
        <v>34</v>
      </c>
      <c r="R271" s="68"/>
    </row>
    <row r="272" spans="1:18" ht="38.25" customHeight="1">
      <c r="A272" s="88" t="s">
        <v>327</v>
      </c>
      <c r="B272" s="79" t="s">
        <v>18</v>
      </c>
      <c r="C272" s="79">
        <v>2.3</v>
      </c>
      <c r="D272" s="79" t="s">
        <v>2</v>
      </c>
      <c r="E272" s="79"/>
      <c r="F272" s="79">
        <v>2019</v>
      </c>
      <c r="G272" s="47">
        <f t="shared" si="112"/>
        <v>3100</v>
      </c>
      <c r="H272" s="47">
        <f t="shared" si="113"/>
        <v>0</v>
      </c>
      <c r="I272" s="47">
        <v>3100</v>
      </c>
      <c r="J272" s="47">
        <v>0</v>
      </c>
      <c r="K272" s="47">
        <v>0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8" t="s">
        <v>34</v>
      </c>
      <c r="R272" s="68"/>
    </row>
    <row r="273" spans="1:18" ht="38.25" customHeight="1">
      <c r="A273" s="88" t="s">
        <v>328</v>
      </c>
      <c r="B273" s="79" t="s">
        <v>19</v>
      </c>
      <c r="C273" s="79">
        <v>2</v>
      </c>
      <c r="D273" s="79" t="s">
        <v>2</v>
      </c>
      <c r="E273" s="79"/>
      <c r="F273" s="79">
        <v>2019</v>
      </c>
      <c r="G273" s="47">
        <f t="shared" si="112"/>
        <v>1900</v>
      </c>
      <c r="H273" s="47">
        <f t="shared" si="113"/>
        <v>0</v>
      </c>
      <c r="I273" s="47">
        <v>1900</v>
      </c>
      <c r="J273" s="47">
        <v>0</v>
      </c>
      <c r="K273" s="47">
        <v>0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8" t="s">
        <v>34</v>
      </c>
      <c r="R273" s="68"/>
    </row>
    <row r="274" spans="1:18" ht="38.25" customHeight="1">
      <c r="A274" s="88" t="s">
        <v>329</v>
      </c>
      <c r="B274" s="79" t="s">
        <v>22</v>
      </c>
      <c r="C274" s="79">
        <v>1</v>
      </c>
      <c r="D274" s="79" t="s">
        <v>2</v>
      </c>
      <c r="E274" s="79"/>
      <c r="F274" s="79">
        <v>2019</v>
      </c>
      <c r="G274" s="47">
        <f t="shared" si="112"/>
        <v>2500</v>
      </c>
      <c r="H274" s="47">
        <f t="shared" si="113"/>
        <v>0</v>
      </c>
      <c r="I274" s="47">
        <v>2500</v>
      </c>
      <c r="J274" s="47">
        <v>0</v>
      </c>
      <c r="K274" s="47">
        <v>0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8" t="s">
        <v>34</v>
      </c>
      <c r="R274" s="68"/>
    </row>
    <row r="275" spans="1:18" ht="38.25" customHeight="1">
      <c r="A275" s="88" t="s">
        <v>330</v>
      </c>
      <c r="B275" s="79" t="s">
        <v>23</v>
      </c>
      <c r="C275" s="79">
        <v>2</v>
      </c>
      <c r="D275" s="79" t="s">
        <v>2</v>
      </c>
      <c r="E275" s="79"/>
      <c r="F275" s="79">
        <v>2019</v>
      </c>
      <c r="G275" s="47">
        <f t="shared" si="112"/>
        <v>500</v>
      </c>
      <c r="H275" s="47">
        <f t="shared" si="113"/>
        <v>0</v>
      </c>
      <c r="I275" s="47">
        <v>500</v>
      </c>
      <c r="J275" s="47">
        <v>0</v>
      </c>
      <c r="K275" s="47">
        <v>0</v>
      </c>
      <c r="L275" s="47">
        <v>0</v>
      </c>
      <c r="M275" s="47">
        <v>0</v>
      </c>
      <c r="N275" s="47">
        <v>0</v>
      </c>
      <c r="O275" s="47">
        <v>0</v>
      </c>
      <c r="P275" s="47">
        <v>0</v>
      </c>
      <c r="Q275" s="48" t="s">
        <v>34</v>
      </c>
      <c r="R275" s="68"/>
    </row>
    <row r="276" spans="1:18" ht="36" customHeight="1">
      <c r="A276" s="88" t="s">
        <v>331</v>
      </c>
      <c r="B276" s="79" t="s">
        <v>25</v>
      </c>
      <c r="C276" s="79">
        <v>1.5</v>
      </c>
      <c r="D276" s="79" t="s">
        <v>2</v>
      </c>
      <c r="E276" s="79"/>
      <c r="F276" s="79">
        <v>2019</v>
      </c>
      <c r="G276" s="47">
        <f t="shared" si="112"/>
        <v>2000</v>
      </c>
      <c r="H276" s="47">
        <f t="shared" si="113"/>
        <v>0</v>
      </c>
      <c r="I276" s="47">
        <v>2000</v>
      </c>
      <c r="J276" s="47">
        <v>0</v>
      </c>
      <c r="K276" s="47">
        <v>0</v>
      </c>
      <c r="L276" s="47">
        <v>0</v>
      </c>
      <c r="M276" s="47">
        <v>0</v>
      </c>
      <c r="N276" s="47">
        <v>0</v>
      </c>
      <c r="O276" s="47">
        <v>0</v>
      </c>
      <c r="P276" s="47">
        <v>0</v>
      </c>
      <c r="Q276" s="48" t="s">
        <v>34</v>
      </c>
      <c r="R276" s="68"/>
    </row>
    <row r="277" spans="1:18" ht="36" customHeight="1">
      <c r="A277" s="88" t="s">
        <v>332</v>
      </c>
      <c r="B277" s="79" t="s">
        <v>176</v>
      </c>
      <c r="C277" s="79">
        <v>0.653</v>
      </c>
      <c r="D277" s="79" t="s">
        <v>2</v>
      </c>
      <c r="E277" s="79"/>
      <c r="F277" s="79">
        <v>2019</v>
      </c>
      <c r="G277" s="47">
        <f t="shared" si="112"/>
        <v>1000</v>
      </c>
      <c r="H277" s="47">
        <f t="shared" si="113"/>
        <v>0</v>
      </c>
      <c r="I277" s="47">
        <v>1000</v>
      </c>
      <c r="J277" s="47">
        <v>0</v>
      </c>
      <c r="K277" s="47">
        <v>0</v>
      </c>
      <c r="L277" s="47">
        <v>0</v>
      </c>
      <c r="M277" s="47">
        <v>0</v>
      </c>
      <c r="N277" s="47">
        <v>0</v>
      </c>
      <c r="O277" s="47">
        <v>0</v>
      </c>
      <c r="P277" s="47">
        <v>0</v>
      </c>
      <c r="Q277" s="48" t="s">
        <v>34</v>
      </c>
      <c r="R277" s="68"/>
    </row>
    <row r="278" spans="1:18" ht="36" customHeight="1">
      <c r="A278" s="88" t="s">
        <v>333</v>
      </c>
      <c r="B278" s="79" t="s">
        <v>177</v>
      </c>
      <c r="C278" s="79">
        <v>0.923</v>
      </c>
      <c r="D278" s="79" t="s">
        <v>2</v>
      </c>
      <c r="E278" s="79"/>
      <c r="F278" s="79">
        <v>2019</v>
      </c>
      <c r="G278" s="47">
        <f t="shared" si="112"/>
        <v>1000</v>
      </c>
      <c r="H278" s="47">
        <f t="shared" si="113"/>
        <v>0</v>
      </c>
      <c r="I278" s="47">
        <v>1000</v>
      </c>
      <c r="J278" s="47">
        <v>0</v>
      </c>
      <c r="K278" s="47">
        <v>0</v>
      </c>
      <c r="L278" s="47">
        <v>0</v>
      </c>
      <c r="M278" s="47">
        <v>0</v>
      </c>
      <c r="N278" s="47">
        <v>0</v>
      </c>
      <c r="O278" s="47">
        <v>0</v>
      </c>
      <c r="P278" s="47">
        <v>0</v>
      </c>
      <c r="Q278" s="48" t="s">
        <v>34</v>
      </c>
      <c r="R278" s="68"/>
    </row>
    <row r="279" spans="1:18" ht="38.25" customHeight="1">
      <c r="A279" s="88" t="s">
        <v>334</v>
      </c>
      <c r="B279" s="79" t="s">
        <v>47</v>
      </c>
      <c r="C279" s="79">
        <v>1.5</v>
      </c>
      <c r="D279" s="79" t="s">
        <v>2</v>
      </c>
      <c r="E279" s="79"/>
      <c r="F279" s="79">
        <v>2019</v>
      </c>
      <c r="G279" s="47">
        <f>I279+K279+M279+O279</f>
        <v>1200</v>
      </c>
      <c r="H279" s="47">
        <f>J279+L279+N279+P279</f>
        <v>0</v>
      </c>
      <c r="I279" s="47">
        <v>1200</v>
      </c>
      <c r="J279" s="47">
        <v>0</v>
      </c>
      <c r="K279" s="47">
        <v>0</v>
      </c>
      <c r="L279" s="47">
        <v>0</v>
      </c>
      <c r="M279" s="47">
        <v>0</v>
      </c>
      <c r="N279" s="47">
        <v>0</v>
      </c>
      <c r="O279" s="47">
        <v>0</v>
      </c>
      <c r="P279" s="47">
        <v>0</v>
      </c>
      <c r="Q279" s="48" t="s">
        <v>34</v>
      </c>
      <c r="R279" s="68"/>
    </row>
    <row r="280" spans="1:18" ht="38.25" customHeight="1">
      <c r="A280" s="88" t="s">
        <v>335</v>
      </c>
      <c r="B280" s="79" t="s">
        <v>44</v>
      </c>
      <c r="C280" s="79">
        <v>0.68</v>
      </c>
      <c r="D280" s="79" t="s">
        <v>2</v>
      </c>
      <c r="E280" s="79"/>
      <c r="F280" s="79">
        <v>2019</v>
      </c>
      <c r="G280" s="47">
        <f>I280+K280+M280+O280</f>
        <v>1200</v>
      </c>
      <c r="H280" s="47">
        <f>J280+L280+N280+P280</f>
        <v>0</v>
      </c>
      <c r="I280" s="47">
        <v>1200</v>
      </c>
      <c r="J280" s="47">
        <v>0</v>
      </c>
      <c r="K280" s="47">
        <v>0</v>
      </c>
      <c r="L280" s="47">
        <v>0</v>
      </c>
      <c r="M280" s="47">
        <v>0</v>
      </c>
      <c r="N280" s="47">
        <v>0</v>
      </c>
      <c r="O280" s="47">
        <v>0</v>
      </c>
      <c r="P280" s="47">
        <v>0</v>
      </c>
      <c r="Q280" s="48" t="s">
        <v>34</v>
      </c>
      <c r="R280" s="68"/>
    </row>
    <row r="281" spans="1:18" ht="36" customHeight="1">
      <c r="A281" s="88" t="s">
        <v>336</v>
      </c>
      <c r="B281" s="79" t="s">
        <v>56</v>
      </c>
      <c r="C281" s="79">
        <v>30.9</v>
      </c>
      <c r="D281" s="79" t="s">
        <v>2</v>
      </c>
      <c r="E281" s="79"/>
      <c r="F281" s="79">
        <v>2019</v>
      </c>
      <c r="G281" s="47">
        <f t="shared" si="112"/>
        <v>43260</v>
      </c>
      <c r="H281" s="47">
        <f t="shared" si="113"/>
        <v>0</v>
      </c>
      <c r="I281" s="47">
        <v>43260</v>
      </c>
      <c r="J281" s="47">
        <v>0</v>
      </c>
      <c r="K281" s="47">
        <v>0</v>
      </c>
      <c r="L281" s="47">
        <v>0</v>
      </c>
      <c r="M281" s="47">
        <v>0</v>
      </c>
      <c r="N281" s="47">
        <v>0</v>
      </c>
      <c r="O281" s="47">
        <v>0</v>
      </c>
      <c r="P281" s="47">
        <v>0</v>
      </c>
      <c r="Q281" s="48" t="s">
        <v>34</v>
      </c>
      <c r="R281" s="68"/>
    </row>
    <row r="282" spans="1:18" ht="36" customHeight="1">
      <c r="A282" s="88" t="s">
        <v>337</v>
      </c>
      <c r="B282" s="79" t="s">
        <v>57</v>
      </c>
      <c r="C282" s="79">
        <v>5.4</v>
      </c>
      <c r="D282" s="79" t="s">
        <v>2</v>
      </c>
      <c r="E282" s="79"/>
      <c r="F282" s="79">
        <v>2019</v>
      </c>
      <c r="G282" s="47">
        <f t="shared" si="112"/>
        <v>7560</v>
      </c>
      <c r="H282" s="47">
        <f t="shared" si="113"/>
        <v>0</v>
      </c>
      <c r="I282" s="47">
        <v>7560</v>
      </c>
      <c r="J282" s="47">
        <v>0</v>
      </c>
      <c r="K282" s="47">
        <v>0</v>
      </c>
      <c r="L282" s="47">
        <v>0</v>
      </c>
      <c r="M282" s="47">
        <v>0</v>
      </c>
      <c r="N282" s="47">
        <v>0</v>
      </c>
      <c r="O282" s="47">
        <v>0</v>
      </c>
      <c r="P282" s="47">
        <v>0</v>
      </c>
      <c r="Q282" s="48" t="s">
        <v>34</v>
      </c>
      <c r="R282" s="68"/>
    </row>
    <row r="283" spans="1:18" ht="36" customHeight="1">
      <c r="A283" s="88" t="s">
        <v>338</v>
      </c>
      <c r="B283" s="79" t="s">
        <v>59</v>
      </c>
      <c r="C283" s="79">
        <v>9.8</v>
      </c>
      <c r="D283" s="79" t="s">
        <v>2</v>
      </c>
      <c r="E283" s="79"/>
      <c r="F283" s="79">
        <v>2019</v>
      </c>
      <c r="G283" s="47">
        <f t="shared" si="112"/>
        <v>13720</v>
      </c>
      <c r="H283" s="47">
        <f t="shared" si="113"/>
        <v>0</v>
      </c>
      <c r="I283" s="47">
        <v>13720</v>
      </c>
      <c r="J283" s="47">
        <v>0</v>
      </c>
      <c r="K283" s="47">
        <v>0</v>
      </c>
      <c r="L283" s="47">
        <v>0</v>
      </c>
      <c r="M283" s="47">
        <v>0</v>
      </c>
      <c r="N283" s="47">
        <v>0</v>
      </c>
      <c r="O283" s="47">
        <v>0</v>
      </c>
      <c r="P283" s="47">
        <v>0</v>
      </c>
      <c r="Q283" s="48" t="s">
        <v>34</v>
      </c>
      <c r="R283" s="68"/>
    </row>
    <row r="284" spans="1:18" ht="36" customHeight="1">
      <c r="A284" s="88" t="s">
        <v>339</v>
      </c>
      <c r="B284" s="79" t="s">
        <v>58</v>
      </c>
      <c r="C284" s="79">
        <v>3</v>
      </c>
      <c r="D284" s="79" t="s">
        <v>2</v>
      </c>
      <c r="E284" s="79"/>
      <c r="F284" s="79">
        <v>2019</v>
      </c>
      <c r="G284" s="47">
        <f t="shared" si="112"/>
        <v>4200</v>
      </c>
      <c r="H284" s="47">
        <f t="shared" si="113"/>
        <v>0</v>
      </c>
      <c r="I284" s="47">
        <v>4200</v>
      </c>
      <c r="J284" s="47">
        <v>0</v>
      </c>
      <c r="K284" s="47">
        <v>0</v>
      </c>
      <c r="L284" s="47">
        <v>0</v>
      </c>
      <c r="M284" s="47">
        <v>0</v>
      </c>
      <c r="N284" s="47">
        <v>0</v>
      </c>
      <c r="O284" s="47">
        <v>0</v>
      </c>
      <c r="P284" s="47">
        <v>0</v>
      </c>
      <c r="Q284" s="48" t="s">
        <v>34</v>
      </c>
      <c r="R284" s="68"/>
    </row>
    <row r="285" spans="1:18" ht="36" customHeight="1">
      <c r="A285" s="88" t="s">
        <v>340</v>
      </c>
      <c r="B285" s="79" t="s">
        <v>60</v>
      </c>
      <c r="C285" s="79">
        <v>1.8</v>
      </c>
      <c r="D285" s="79" t="s">
        <v>2</v>
      </c>
      <c r="E285" s="79"/>
      <c r="F285" s="79">
        <v>2019</v>
      </c>
      <c r="G285" s="47">
        <f t="shared" si="112"/>
        <v>2520</v>
      </c>
      <c r="H285" s="47">
        <f t="shared" si="113"/>
        <v>0</v>
      </c>
      <c r="I285" s="47">
        <v>2520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48" t="s">
        <v>34</v>
      </c>
      <c r="R285" s="68"/>
    </row>
    <row r="286" spans="1:18" ht="36" customHeight="1">
      <c r="A286" s="88" t="s">
        <v>341</v>
      </c>
      <c r="B286" s="79" t="s">
        <v>61</v>
      </c>
      <c r="C286" s="79">
        <v>1.2</v>
      </c>
      <c r="D286" s="79" t="s">
        <v>2</v>
      </c>
      <c r="E286" s="79"/>
      <c r="F286" s="79">
        <v>2019</v>
      </c>
      <c r="G286" s="47">
        <f t="shared" si="112"/>
        <v>1680</v>
      </c>
      <c r="H286" s="47">
        <f t="shared" si="113"/>
        <v>0</v>
      </c>
      <c r="I286" s="47">
        <v>1680</v>
      </c>
      <c r="J286" s="47"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v>0</v>
      </c>
      <c r="P286" s="47">
        <v>0</v>
      </c>
      <c r="Q286" s="48" t="s">
        <v>34</v>
      </c>
      <c r="R286" s="68"/>
    </row>
    <row r="287" spans="1:18" ht="36" customHeight="1">
      <c r="A287" s="88" t="s">
        <v>342</v>
      </c>
      <c r="B287" s="79" t="s">
        <v>62</v>
      </c>
      <c r="C287" s="79">
        <v>7.7</v>
      </c>
      <c r="D287" s="79" t="s">
        <v>2</v>
      </c>
      <c r="E287" s="79"/>
      <c r="F287" s="79">
        <v>2019</v>
      </c>
      <c r="G287" s="47">
        <f t="shared" si="112"/>
        <v>10780</v>
      </c>
      <c r="H287" s="47">
        <f t="shared" si="113"/>
        <v>0</v>
      </c>
      <c r="I287" s="47">
        <v>10780</v>
      </c>
      <c r="J287" s="47">
        <v>0</v>
      </c>
      <c r="K287" s="47">
        <v>0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48" t="s">
        <v>34</v>
      </c>
      <c r="R287" s="68"/>
    </row>
    <row r="288" spans="1:18" ht="36" customHeight="1">
      <c r="A288" s="88" t="s">
        <v>343</v>
      </c>
      <c r="B288" s="79" t="s">
        <v>63</v>
      </c>
      <c r="C288" s="79">
        <v>8.3</v>
      </c>
      <c r="D288" s="79" t="s">
        <v>2</v>
      </c>
      <c r="E288" s="79"/>
      <c r="F288" s="79">
        <v>2019</v>
      </c>
      <c r="G288" s="47">
        <f t="shared" si="112"/>
        <v>11620</v>
      </c>
      <c r="H288" s="47">
        <f t="shared" si="113"/>
        <v>0</v>
      </c>
      <c r="I288" s="47">
        <v>11620</v>
      </c>
      <c r="J288" s="47">
        <v>0</v>
      </c>
      <c r="K288" s="47">
        <v>0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48" t="s">
        <v>34</v>
      </c>
      <c r="R288" s="68"/>
    </row>
    <row r="289" spans="1:18" ht="36" customHeight="1">
      <c r="A289" s="88" t="s">
        <v>344</v>
      </c>
      <c r="B289" s="79" t="s">
        <v>64</v>
      </c>
      <c r="C289" s="79">
        <v>4.5</v>
      </c>
      <c r="D289" s="79" t="s">
        <v>2</v>
      </c>
      <c r="E289" s="79"/>
      <c r="F289" s="79">
        <v>2019</v>
      </c>
      <c r="G289" s="47">
        <f t="shared" si="112"/>
        <v>6300</v>
      </c>
      <c r="H289" s="47">
        <f t="shared" si="113"/>
        <v>0</v>
      </c>
      <c r="I289" s="47">
        <v>6300</v>
      </c>
      <c r="J289" s="47">
        <v>0</v>
      </c>
      <c r="K289" s="47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8" t="s">
        <v>34</v>
      </c>
      <c r="R289" s="68"/>
    </row>
    <row r="290" spans="1:18" ht="36" customHeight="1">
      <c r="A290" s="88" t="s">
        <v>345</v>
      </c>
      <c r="B290" s="79" t="s">
        <v>65</v>
      </c>
      <c r="C290" s="79">
        <v>3</v>
      </c>
      <c r="D290" s="79" t="s">
        <v>2</v>
      </c>
      <c r="E290" s="79"/>
      <c r="F290" s="79">
        <v>2019</v>
      </c>
      <c r="G290" s="47">
        <f t="shared" si="112"/>
        <v>4200</v>
      </c>
      <c r="H290" s="47">
        <f t="shared" si="113"/>
        <v>0</v>
      </c>
      <c r="I290" s="47">
        <v>4200</v>
      </c>
      <c r="J290" s="47">
        <v>0</v>
      </c>
      <c r="K290" s="47">
        <v>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8" t="s">
        <v>34</v>
      </c>
      <c r="R290" s="68"/>
    </row>
    <row r="291" spans="1:18" ht="36" customHeight="1">
      <c r="A291" s="88" t="s">
        <v>346</v>
      </c>
      <c r="B291" s="79" t="s">
        <v>66</v>
      </c>
      <c r="C291" s="79">
        <v>2.68</v>
      </c>
      <c r="D291" s="79" t="s">
        <v>2</v>
      </c>
      <c r="E291" s="79"/>
      <c r="F291" s="79">
        <v>2019</v>
      </c>
      <c r="G291" s="47">
        <f aca="true" t="shared" si="116" ref="G291:G316">I291+K291+M291+O291</f>
        <v>3752</v>
      </c>
      <c r="H291" s="47">
        <f aca="true" t="shared" si="117" ref="H291:H316">J291+L291+N291+P291</f>
        <v>0</v>
      </c>
      <c r="I291" s="47">
        <v>3752</v>
      </c>
      <c r="J291" s="47">
        <v>0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8" t="s">
        <v>34</v>
      </c>
      <c r="R291" s="68"/>
    </row>
    <row r="292" spans="1:18" ht="36" customHeight="1">
      <c r="A292" s="88" t="s">
        <v>347</v>
      </c>
      <c r="B292" s="79" t="s">
        <v>67</v>
      </c>
      <c r="C292" s="79">
        <v>15</v>
      </c>
      <c r="D292" s="79" t="s">
        <v>2</v>
      </c>
      <c r="E292" s="79"/>
      <c r="F292" s="79">
        <v>2019</v>
      </c>
      <c r="G292" s="47">
        <f t="shared" si="116"/>
        <v>21000</v>
      </c>
      <c r="H292" s="47">
        <f t="shared" si="117"/>
        <v>0</v>
      </c>
      <c r="I292" s="47">
        <v>21000</v>
      </c>
      <c r="J292" s="47"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8" t="s">
        <v>34</v>
      </c>
      <c r="R292" s="68"/>
    </row>
    <row r="293" spans="1:18" ht="36" customHeight="1">
      <c r="A293" s="88" t="s">
        <v>348</v>
      </c>
      <c r="B293" s="79" t="s">
        <v>68</v>
      </c>
      <c r="C293" s="79">
        <v>7.5</v>
      </c>
      <c r="D293" s="79" t="s">
        <v>2</v>
      </c>
      <c r="E293" s="79"/>
      <c r="F293" s="79">
        <v>2019</v>
      </c>
      <c r="G293" s="47">
        <f t="shared" si="116"/>
        <v>10500</v>
      </c>
      <c r="H293" s="47">
        <f t="shared" si="117"/>
        <v>0</v>
      </c>
      <c r="I293" s="47">
        <v>10500</v>
      </c>
      <c r="J293" s="47">
        <v>0</v>
      </c>
      <c r="K293" s="47">
        <v>0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8" t="s">
        <v>34</v>
      </c>
      <c r="R293" s="68"/>
    </row>
    <row r="294" spans="1:18" ht="36" customHeight="1">
      <c r="A294" s="88" t="s">
        <v>349</v>
      </c>
      <c r="B294" s="79" t="s">
        <v>70</v>
      </c>
      <c r="C294" s="79">
        <v>22</v>
      </c>
      <c r="D294" s="79" t="s">
        <v>2</v>
      </c>
      <c r="E294" s="79"/>
      <c r="F294" s="79">
        <v>2020</v>
      </c>
      <c r="G294" s="47">
        <f t="shared" si="116"/>
        <v>30800</v>
      </c>
      <c r="H294" s="47">
        <f t="shared" si="117"/>
        <v>0</v>
      </c>
      <c r="I294" s="47">
        <v>30800</v>
      </c>
      <c r="J294" s="47">
        <v>0</v>
      </c>
      <c r="K294" s="47">
        <v>0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8" t="s">
        <v>34</v>
      </c>
      <c r="R294" s="68"/>
    </row>
    <row r="295" spans="1:18" ht="60" customHeight="1">
      <c r="A295" s="88" t="s">
        <v>350</v>
      </c>
      <c r="B295" s="79" t="s">
        <v>193</v>
      </c>
      <c r="C295" s="79">
        <v>0.6</v>
      </c>
      <c r="D295" s="79" t="s">
        <v>2</v>
      </c>
      <c r="E295" s="79"/>
      <c r="F295" s="79">
        <v>2020</v>
      </c>
      <c r="G295" s="38">
        <f t="shared" si="116"/>
        <v>4000</v>
      </c>
      <c r="H295" s="38">
        <f t="shared" si="117"/>
        <v>0</v>
      </c>
      <c r="I295" s="47">
        <v>4000</v>
      </c>
      <c r="J295" s="47">
        <v>0</v>
      </c>
      <c r="K295" s="47">
        <v>0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8" t="s">
        <v>27</v>
      </c>
      <c r="R295" s="68"/>
    </row>
    <row r="296" spans="1:18" ht="45.75" customHeight="1">
      <c r="A296" s="88" t="s">
        <v>351</v>
      </c>
      <c r="B296" s="79" t="s">
        <v>115</v>
      </c>
      <c r="C296" s="79">
        <v>2.1</v>
      </c>
      <c r="D296" s="79" t="s">
        <v>2</v>
      </c>
      <c r="E296" s="79"/>
      <c r="F296" s="79">
        <v>2020</v>
      </c>
      <c r="G296" s="47">
        <f aca="true" t="shared" si="118" ref="G296:H299">I296+K296+M296+O296</f>
        <v>3000</v>
      </c>
      <c r="H296" s="47">
        <f t="shared" si="118"/>
        <v>0</v>
      </c>
      <c r="I296" s="47">
        <v>3000</v>
      </c>
      <c r="J296" s="47"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8" t="s">
        <v>27</v>
      </c>
      <c r="R296" s="68"/>
    </row>
    <row r="297" spans="1:18" ht="45.75" customHeight="1">
      <c r="A297" s="88" t="s">
        <v>352</v>
      </c>
      <c r="B297" s="79" t="s">
        <v>117</v>
      </c>
      <c r="C297" s="79">
        <v>1.34</v>
      </c>
      <c r="D297" s="79" t="s">
        <v>2</v>
      </c>
      <c r="E297" s="79"/>
      <c r="F297" s="79">
        <v>2020</v>
      </c>
      <c r="G297" s="47">
        <f t="shared" si="118"/>
        <v>2000</v>
      </c>
      <c r="H297" s="47">
        <f t="shared" si="118"/>
        <v>0</v>
      </c>
      <c r="I297" s="47">
        <v>2000</v>
      </c>
      <c r="J297" s="47"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8" t="s">
        <v>27</v>
      </c>
      <c r="R297" s="68"/>
    </row>
    <row r="298" spans="1:18" ht="45.75" customHeight="1">
      <c r="A298" s="88" t="s">
        <v>353</v>
      </c>
      <c r="B298" s="79" t="s">
        <v>118</v>
      </c>
      <c r="C298" s="79">
        <v>0.46</v>
      </c>
      <c r="D298" s="79" t="s">
        <v>2</v>
      </c>
      <c r="E298" s="79"/>
      <c r="F298" s="79">
        <v>2020</v>
      </c>
      <c r="G298" s="47">
        <f t="shared" si="118"/>
        <v>1200</v>
      </c>
      <c r="H298" s="47">
        <f t="shared" si="118"/>
        <v>0</v>
      </c>
      <c r="I298" s="47">
        <v>1200</v>
      </c>
      <c r="J298" s="47">
        <v>0</v>
      </c>
      <c r="K298" s="47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8" t="s">
        <v>27</v>
      </c>
      <c r="R298" s="68"/>
    </row>
    <row r="299" spans="1:18" ht="38.25" customHeight="1">
      <c r="A299" s="88" t="s">
        <v>354</v>
      </c>
      <c r="B299" s="79" t="s">
        <v>20</v>
      </c>
      <c r="C299" s="79">
        <v>4.9</v>
      </c>
      <c r="D299" s="79" t="s">
        <v>2</v>
      </c>
      <c r="E299" s="79"/>
      <c r="F299" s="79">
        <v>2020</v>
      </c>
      <c r="G299" s="47">
        <f t="shared" si="118"/>
        <v>10000</v>
      </c>
      <c r="H299" s="47">
        <f t="shared" si="118"/>
        <v>0</v>
      </c>
      <c r="I299" s="47">
        <v>10000</v>
      </c>
      <c r="J299" s="47">
        <v>0</v>
      </c>
      <c r="K299" s="47">
        <v>0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8" t="s">
        <v>34</v>
      </c>
      <c r="R299" s="68"/>
    </row>
    <row r="300" spans="1:18" ht="36" customHeight="1">
      <c r="A300" s="88" t="s">
        <v>355</v>
      </c>
      <c r="B300" s="79" t="s">
        <v>71</v>
      </c>
      <c r="C300" s="79">
        <v>8</v>
      </c>
      <c r="D300" s="79" t="s">
        <v>2</v>
      </c>
      <c r="E300" s="79"/>
      <c r="F300" s="79">
        <v>2020</v>
      </c>
      <c r="G300" s="47">
        <f t="shared" si="116"/>
        <v>11200</v>
      </c>
      <c r="H300" s="47">
        <f t="shared" si="117"/>
        <v>0</v>
      </c>
      <c r="I300" s="47">
        <v>11200</v>
      </c>
      <c r="J300" s="47">
        <v>0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8" t="s">
        <v>34</v>
      </c>
      <c r="R300" s="68"/>
    </row>
    <row r="301" spans="1:18" ht="36" customHeight="1">
      <c r="A301" s="88" t="s">
        <v>356</v>
      </c>
      <c r="B301" s="79" t="s">
        <v>72</v>
      </c>
      <c r="C301" s="79">
        <v>5.3</v>
      </c>
      <c r="D301" s="79" t="s">
        <v>2</v>
      </c>
      <c r="E301" s="79"/>
      <c r="F301" s="79">
        <v>2020</v>
      </c>
      <c r="G301" s="47">
        <f t="shared" si="116"/>
        <v>7420</v>
      </c>
      <c r="H301" s="47">
        <f t="shared" si="117"/>
        <v>0</v>
      </c>
      <c r="I301" s="47">
        <v>7420</v>
      </c>
      <c r="J301" s="47">
        <v>0</v>
      </c>
      <c r="K301" s="47">
        <v>0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8" t="s">
        <v>34</v>
      </c>
      <c r="R301" s="68"/>
    </row>
    <row r="302" spans="1:18" ht="36" customHeight="1">
      <c r="A302" s="88" t="s">
        <v>357</v>
      </c>
      <c r="B302" s="79" t="s">
        <v>73</v>
      </c>
      <c r="C302" s="79">
        <v>32.8</v>
      </c>
      <c r="D302" s="79" t="s">
        <v>2</v>
      </c>
      <c r="E302" s="79"/>
      <c r="F302" s="79">
        <v>2020</v>
      </c>
      <c r="G302" s="47">
        <f t="shared" si="116"/>
        <v>45920</v>
      </c>
      <c r="H302" s="47">
        <f t="shared" si="117"/>
        <v>0</v>
      </c>
      <c r="I302" s="47">
        <v>45920</v>
      </c>
      <c r="J302" s="47">
        <v>0</v>
      </c>
      <c r="K302" s="47">
        <v>0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8" t="s">
        <v>34</v>
      </c>
      <c r="R302" s="68"/>
    </row>
    <row r="303" spans="1:18" ht="36" customHeight="1">
      <c r="A303" s="88" t="s">
        <v>358</v>
      </c>
      <c r="B303" s="79" t="s">
        <v>74</v>
      </c>
      <c r="C303" s="79">
        <v>7.6</v>
      </c>
      <c r="D303" s="79" t="s">
        <v>2</v>
      </c>
      <c r="E303" s="79"/>
      <c r="F303" s="79">
        <v>2020</v>
      </c>
      <c r="G303" s="47">
        <f t="shared" si="116"/>
        <v>10640</v>
      </c>
      <c r="H303" s="47">
        <f t="shared" si="117"/>
        <v>0</v>
      </c>
      <c r="I303" s="47">
        <v>10640</v>
      </c>
      <c r="J303" s="47">
        <v>0</v>
      </c>
      <c r="K303" s="47">
        <v>0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8" t="s">
        <v>34</v>
      </c>
      <c r="R303" s="68"/>
    </row>
    <row r="304" spans="1:18" ht="36" customHeight="1">
      <c r="A304" s="88" t="s">
        <v>359</v>
      </c>
      <c r="B304" s="79" t="s">
        <v>75</v>
      </c>
      <c r="C304" s="79">
        <v>9.8</v>
      </c>
      <c r="D304" s="79" t="s">
        <v>2</v>
      </c>
      <c r="E304" s="79"/>
      <c r="F304" s="79">
        <v>2020</v>
      </c>
      <c r="G304" s="47">
        <f t="shared" si="116"/>
        <v>13720</v>
      </c>
      <c r="H304" s="47">
        <f t="shared" si="117"/>
        <v>0</v>
      </c>
      <c r="I304" s="47">
        <v>13720</v>
      </c>
      <c r="J304" s="47">
        <v>0</v>
      </c>
      <c r="K304" s="47">
        <v>0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8" t="s">
        <v>34</v>
      </c>
      <c r="R304" s="68"/>
    </row>
    <row r="305" spans="1:18" ht="36" customHeight="1">
      <c r="A305" s="88" t="s">
        <v>360</v>
      </c>
      <c r="B305" s="79" t="s">
        <v>76</v>
      </c>
      <c r="C305" s="79">
        <v>15.3</v>
      </c>
      <c r="D305" s="79" t="s">
        <v>2</v>
      </c>
      <c r="E305" s="79"/>
      <c r="F305" s="79">
        <v>2020</v>
      </c>
      <c r="G305" s="47">
        <f t="shared" si="116"/>
        <v>21420</v>
      </c>
      <c r="H305" s="47">
        <f t="shared" si="117"/>
        <v>0</v>
      </c>
      <c r="I305" s="47">
        <v>21420</v>
      </c>
      <c r="J305" s="47">
        <v>0</v>
      </c>
      <c r="K305" s="47">
        <v>0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8" t="s">
        <v>34</v>
      </c>
      <c r="R305" s="68"/>
    </row>
    <row r="306" spans="1:18" ht="36" customHeight="1">
      <c r="A306" s="88" t="s">
        <v>361</v>
      </c>
      <c r="B306" s="79" t="s">
        <v>77</v>
      </c>
      <c r="C306" s="79">
        <v>5</v>
      </c>
      <c r="D306" s="79" t="s">
        <v>2</v>
      </c>
      <c r="E306" s="79"/>
      <c r="F306" s="79">
        <v>2020</v>
      </c>
      <c r="G306" s="47">
        <f t="shared" si="116"/>
        <v>7000</v>
      </c>
      <c r="H306" s="47">
        <f t="shared" si="117"/>
        <v>0</v>
      </c>
      <c r="I306" s="47">
        <v>7000</v>
      </c>
      <c r="J306" s="47">
        <v>0</v>
      </c>
      <c r="K306" s="47">
        <v>0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8" t="s">
        <v>34</v>
      </c>
      <c r="R306" s="68"/>
    </row>
    <row r="307" spans="1:18" ht="36" customHeight="1">
      <c r="A307" s="88" t="s">
        <v>362</v>
      </c>
      <c r="B307" s="79" t="s">
        <v>78</v>
      </c>
      <c r="C307" s="79">
        <v>15.4</v>
      </c>
      <c r="D307" s="79" t="s">
        <v>2</v>
      </c>
      <c r="E307" s="79"/>
      <c r="F307" s="79">
        <v>2020</v>
      </c>
      <c r="G307" s="47">
        <f t="shared" si="116"/>
        <v>21560</v>
      </c>
      <c r="H307" s="47">
        <f t="shared" si="117"/>
        <v>0</v>
      </c>
      <c r="I307" s="47">
        <v>21560</v>
      </c>
      <c r="J307" s="47">
        <v>0</v>
      </c>
      <c r="K307" s="47">
        <v>0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8" t="s">
        <v>34</v>
      </c>
      <c r="R307" s="68"/>
    </row>
    <row r="308" spans="1:18" ht="36" customHeight="1">
      <c r="A308" s="88" t="s">
        <v>363</v>
      </c>
      <c r="B308" s="79" t="s">
        <v>80</v>
      </c>
      <c r="C308" s="79">
        <v>1.75</v>
      </c>
      <c r="D308" s="79" t="s">
        <v>2</v>
      </c>
      <c r="E308" s="79"/>
      <c r="F308" s="79">
        <v>2020</v>
      </c>
      <c r="G308" s="47">
        <f t="shared" si="116"/>
        <v>1500</v>
      </c>
      <c r="H308" s="47">
        <f t="shared" si="117"/>
        <v>0</v>
      </c>
      <c r="I308" s="47">
        <v>1500</v>
      </c>
      <c r="J308" s="47">
        <v>0</v>
      </c>
      <c r="K308" s="47">
        <v>0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8" t="s">
        <v>34</v>
      </c>
      <c r="R308" s="68"/>
    </row>
    <row r="309" spans="1:18" ht="36" customHeight="1">
      <c r="A309" s="88" t="s">
        <v>364</v>
      </c>
      <c r="B309" s="79" t="s">
        <v>81</v>
      </c>
      <c r="C309" s="79">
        <v>5.5</v>
      </c>
      <c r="D309" s="79" t="s">
        <v>2</v>
      </c>
      <c r="E309" s="79"/>
      <c r="F309" s="79">
        <v>2020</v>
      </c>
      <c r="G309" s="47">
        <f t="shared" si="116"/>
        <v>4500</v>
      </c>
      <c r="H309" s="47">
        <f t="shared" si="117"/>
        <v>0</v>
      </c>
      <c r="I309" s="47">
        <v>4500</v>
      </c>
      <c r="J309" s="47">
        <v>0</v>
      </c>
      <c r="K309" s="47">
        <v>0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8" t="s">
        <v>34</v>
      </c>
      <c r="R309" s="68"/>
    </row>
    <row r="310" spans="1:18" ht="36" customHeight="1">
      <c r="A310" s="88" t="s">
        <v>365</v>
      </c>
      <c r="B310" s="79" t="s">
        <v>83</v>
      </c>
      <c r="C310" s="79">
        <v>0.5</v>
      </c>
      <c r="D310" s="79" t="s">
        <v>2</v>
      </c>
      <c r="E310" s="79"/>
      <c r="F310" s="79">
        <v>2020</v>
      </c>
      <c r="G310" s="47">
        <f t="shared" si="116"/>
        <v>650</v>
      </c>
      <c r="H310" s="47">
        <f t="shared" si="117"/>
        <v>0</v>
      </c>
      <c r="I310" s="47">
        <v>650</v>
      </c>
      <c r="J310" s="47">
        <v>0</v>
      </c>
      <c r="K310" s="47">
        <v>0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8" t="s">
        <v>34</v>
      </c>
      <c r="R310" s="68"/>
    </row>
    <row r="311" spans="1:18" ht="36" customHeight="1">
      <c r="A311" s="88" t="s">
        <v>366</v>
      </c>
      <c r="B311" s="79" t="s">
        <v>86</v>
      </c>
      <c r="C311" s="79">
        <v>1.4</v>
      </c>
      <c r="D311" s="79" t="s">
        <v>2</v>
      </c>
      <c r="E311" s="79"/>
      <c r="F311" s="79">
        <v>2020</v>
      </c>
      <c r="G311" s="47">
        <f t="shared" si="116"/>
        <v>1200</v>
      </c>
      <c r="H311" s="47">
        <f t="shared" si="117"/>
        <v>0</v>
      </c>
      <c r="I311" s="47">
        <v>1200</v>
      </c>
      <c r="J311" s="47">
        <v>0</v>
      </c>
      <c r="K311" s="47">
        <v>0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8" t="s">
        <v>34</v>
      </c>
      <c r="R311" s="68"/>
    </row>
    <row r="312" spans="1:18" ht="36" customHeight="1">
      <c r="A312" s="88" t="s">
        <v>367</v>
      </c>
      <c r="B312" s="79" t="s">
        <v>87</v>
      </c>
      <c r="C312" s="79">
        <v>2.09</v>
      </c>
      <c r="D312" s="79" t="s">
        <v>2</v>
      </c>
      <c r="E312" s="79"/>
      <c r="F312" s="79">
        <v>2020</v>
      </c>
      <c r="G312" s="47">
        <f t="shared" si="116"/>
        <v>1800</v>
      </c>
      <c r="H312" s="47">
        <f t="shared" si="117"/>
        <v>0</v>
      </c>
      <c r="I312" s="47">
        <v>1800</v>
      </c>
      <c r="J312" s="47">
        <v>0</v>
      </c>
      <c r="K312" s="47">
        <v>0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8" t="s">
        <v>34</v>
      </c>
      <c r="R312" s="68"/>
    </row>
    <row r="313" spans="1:18" ht="36" customHeight="1">
      <c r="A313" s="88" t="s">
        <v>368</v>
      </c>
      <c r="B313" s="79" t="s">
        <v>79</v>
      </c>
      <c r="C313" s="79">
        <v>1.05</v>
      </c>
      <c r="D313" s="79" t="s">
        <v>2</v>
      </c>
      <c r="E313" s="79"/>
      <c r="F313" s="79">
        <v>2020</v>
      </c>
      <c r="G313" s="47">
        <f t="shared" si="116"/>
        <v>850</v>
      </c>
      <c r="H313" s="47">
        <f t="shared" si="117"/>
        <v>0</v>
      </c>
      <c r="I313" s="47">
        <v>850</v>
      </c>
      <c r="J313" s="47">
        <v>0</v>
      </c>
      <c r="K313" s="47">
        <v>0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8" t="s">
        <v>34</v>
      </c>
      <c r="R313" s="68"/>
    </row>
    <row r="314" spans="1:18" ht="44.25" customHeight="1">
      <c r="A314" s="88" t="s">
        <v>369</v>
      </c>
      <c r="B314" s="79" t="s">
        <v>82</v>
      </c>
      <c r="C314" s="79">
        <v>3.67</v>
      </c>
      <c r="D314" s="79" t="s">
        <v>2</v>
      </c>
      <c r="E314" s="79"/>
      <c r="F314" s="79">
        <v>2020</v>
      </c>
      <c r="G314" s="47">
        <f t="shared" si="116"/>
        <v>3020</v>
      </c>
      <c r="H314" s="47">
        <f t="shared" si="117"/>
        <v>0</v>
      </c>
      <c r="I314" s="47">
        <v>3020</v>
      </c>
      <c r="J314" s="47">
        <v>0</v>
      </c>
      <c r="K314" s="47">
        <v>0</v>
      </c>
      <c r="L314" s="47">
        <v>0</v>
      </c>
      <c r="M314" s="47">
        <v>0</v>
      </c>
      <c r="N314" s="47">
        <v>0</v>
      </c>
      <c r="O314" s="47">
        <v>0</v>
      </c>
      <c r="P314" s="47">
        <v>0</v>
      </c>
      <c r="Q314" s="48" t="s">
        <v>34</v>
      </c>
      <c r="R314" s="68"/>
    </row>
    <row r="315" spans="1:18" ht="36" customHeight="1">
      <c r="A315" s="88" t="s">
        <v>370</v>
      </c>
      <c r="B315" s="79" t="s">
        <v>85</v>
      </c>
      <c r="C315" s="79">
        <v>0.8</v>
      </c>
      <c r="D315" s="79" t="s">
        <v>2</v>
      </c>
      <c r="E315" s="79"/>
      <c r="F315" s="79">
        <v>2020</v>
      </c>
      <c r="G315" s="47">
        <f t="shared" si="116"/>
        <v>740</v>
      </c>
      <c r="H315" s="47">
        <f t="shared" si="117"/>
        <v>0</v>
      </c>
      <c r="I315" s="47">
        <v>740</v>
      </c>
      <c r="J315" s="47">
        <v>0</v>
      </c>
      <c r="K315" s="47">
        <v>0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8" t="s">
        <v>34</v>
      </c>
      <c r="R315" s="68"/>
    </row>
    <row r="316" spans="1:18" ht="60" customHeight="1">
      <c r="A316" s="88" t="s">
        <v>371</v>
      </c>
      <c r="B316" s="79" t="s">
        <v>192</v>
      </c>
      <c r="C316" s="79">
        <v>3.5</v>
      </c>
      <c r="D316" s="79" t="s">
        <v>2</v>
      </c>
      <c r="E316" s="79"/>
      <c r="F316" s="79">
        <v>2020</v>
      </c>
      <c r="G316" s="38">
        <f t="shared" si="116"/>
        <v>4900</v>
      </c>
      <c r="H316" s="38">
        <f t="shared" si="117"/>
        <v>0</v>
      </c>
      <c r="I316" s="47">
        <v>4900</v>
      </c>
      <c r="J316" s="47"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8" t="s">
        <v>27</v>
      </c>
      <c r="R316" s="68"/>
    </row>
    <row r="317" spans="1:18" ht="29.25" customHeight="1">
      <c r="A317" s="77" t="s">
        <v>372</v>
      </c>
      <c r="B317" s="94" t="s">
        <v>244</v>
      </c>
      <c r="C317" s="95"/>
      <c r="D317" s="96"/>
      <c r="E317" s="97"/>
      <c r="F317" s="67" t="s">
        <v>98</v>
      </c>
      <c r="G317" s="40">
        <f aca="true" t="shared" si="119" ref="G317:H324">I317+K317+M317+O317</f>
        <v>3750</v>
      </c>
      <c r="H317" s="40">
        <f t="shared" si="119"/>
        <v>0</v>
      </c>
      <c r="I317" s="40">
        <f aca="true" t="shared" si="120" ref="I317:P317">I318+I319+I320+I321+I322+I323</f>
        <v>3750</v>
      </c>
      <c r="J317" s="40">
        <f t="shared" si="120"/>
        <v>0</v>
      </c>
      <c r="K317" s="40">
        <f t="shared" si="120"/>
        <v>0</v>
      </c>
      <c r="L317" s="40">
        <f t="shared" si="120"/>
        <v>0</v>
      </c>
      <c r="M317" s="40">
        <f t="shared" si="120"/>
        <v>0</v>
      </c>
      <c r="N317" s="40">
        <f t="shared" si="120"/>
        <v>0</v>
      </c>
      <c r="O317" s="40">
        <f t="shared" si="120"/>
        <v>0</v>
      </c>
      <c r="P317" s="40">
        <f t="shared" si="120"/>
        <v>0</v>
      </c>
      <c r="Q317" s="39"/>
      <c r="R317" s="68"/>
    </row>
    <row r="318" spans="1:18" ht="22.5" customHeight="1">
      <c r="A318" s="80"/>
      <c r="B318" s="98"/>
      <c r="C318" s="99"/>
      <c r="D318" s="100"/>
      <c r="E318" s="101"/>
      <c r="F318" s="72">
        <v>2015</v>
      </c>
      <c r="G318" s="38">
        <f t="shared" si="119"/>
        <v>0</v>
      </c>
      <c r="H318" s="38">
        <f t="shared" si="119"/>
        <v>0</v>
      </c>
      <c r="I318" s="38">
        <v>0</v>
      </c>
      <c r="J318" s="38">
        <v>0</v>
      </c>
      <c r="K318" s="38">
        <f aca="true" t="shared" si="121" ref="K318:P318">K325+K332</f>
        <v>0</v>
      </c>
      <c r="L318" s="38">
        <f t="shared" si="121"/>
        <v>0</v>
      </c>
      <c r="M318" s="38">
        <v>0</v>
      </c>
      <c r="N318" s="38">
        <v>0</v>
      </c>
      <c r="O318" s="38">
        <f t="shared" si="121"/>
        <v>0</v>
      </c>
      <c r="P318" s="38">
        <f t="shared" si="121"/>
        <v>0</v>
      </c>
      <c r="Q318" s="39"/>
      <c r="R318" s="68"/>
    </row>
    <row r="319" spans="1:18" ht="20.25" customHeight="1">
      <c r="A319" s="80"/>
      <c r="B319" s="98"/>
      <c r="C319" s="99"/>
      <c r="D319" s="100"/>
      <c r="E319" s="101"/>
      <c r="F319" s="72">
        <v>2016</v>
      </c>
      <c r="G319" s="38">
        <f t="shared" si="119"/>
        <v>0</v>
      </c>
      <c r="H319" s="38">
        <f t="shared" si="119"/>
        <v>0</v>
      </c>
      <c r="I319" s="38">
        <v>0</v>
      </c>
      <c r="J319" s="38">
        <v>0</v>
      </c>
      <c r="K319" s="38">
        <f aca="true" t="shared" si="122" ref="K319:P319">K326+K333</f>
        <v>0</v>
      </c>
      <c r="L319" s="38">
        <f t="shared" si="122"/>
        <v>0</v>
      </c>
      <c r="M319" s="38">
        <v>0</v>
      </c>
      <c r="N319" s="38">
        <v>0</v>
      </c>
      <c r="O319" s="38">
        <f t="shared" si="122"/>
        <v>0</v>
      </c>
      <c r="P319" s="38">
        <f t="shared" si="122"/>
        <v>0</v>
      </c>
      <c r="Q319" s="39"/>
      <c r="R319" s="68"/>
    </row>
    <row r="320" spans="1:18" ht="21.75" customHeight="1">
      <c r="A320" s="80"/>
      <c r="B320" s="98"/>
      <c r="C320" s="99"/>
      <c r="D320" s="100"/>
      <c r="E320" s="101"/>
      <c r="F320" s="72">
        <v>2017</v>
      </c>
      <c r="G320" s="38">
        <f t="shared" si="119"/>
        <v>0</v>
      </c>
      <c r="H320" s="38">
        <f t="shared" si="119"/>
        <v>0</v>
      </c>
      <c r="I320" s="38">
        <v>0</v>
      </c>
      <c r="J320" s="38">
        <f>J324</f>
        <v>0</v>
      </c>
      <c r="K320" s="38">
        <f>K324</f>
        <v>0</v>
      </c>
      <c r="L320" s="38">
        <f>L324</f>
        <v>0</v>
      </c>
      <c r="M320" s="38">
        <f>M324</f>
        <v>0</v>
      </c>
      <c r="N320" s="38">
        <f>N324</f>
        <v>0</v>
      </c>
      <c r="O320" s="38">
        <f>O327+O334</f>
        <v>0</v>
      </c>
      <c r="P320" s="38">
        <f>P327+P334</f>
        <v>0</v>
      </c>
      <c r="Q320" s="39"/>
      <c r="R320" s="68"/>
    </row>
    <row r="321" spans="1:18" ht="24" customHeight="1">
      <c r="A321" s="80"/>
      <c r="B321" s="98"/>
      <c r="C321" s="99"/>
      <c r="D321" s="100"/>
      <c r="E321" s="101"/>
      <c r="F321" s="72">
        <v>2018</v>
      </c>
      <c r="G321" s="38">
        <f t="shared" si="119"/>
        <v>3750</v>
      </c>
      <c r="H321" s="38">
        <f t="shared" si="119"/>
        <v>0</v>
      </c>
      <c r="I321" s="38">
        <f>I324</f>
        <v>3750</v>
      </c>
      <c r="J321" s="38">
        <f aca="true" t="shared" si="123" ref="J321:P321">J324</f>
        <v>0</v>
      </c>
      <c r="K321" s="38">
        <f t="shared" si="123"/>
        <v>0</v>
      </c>
      <c r="L321" s="38">
        <f t="shared" si="123"/>
        <v>0</v>
      </c>
      <c r="M321" s="38">
        <f t="shared" si="123"/>
        <v>0</v>
      </c>
      <c r="N321" s="38">
        <f t="shared" si="123"/>
        <v>0</v>
      </c>
      <c r="O321" s="38">
        <f t="shared" si="123"/>
        <v>0</v>
      </c>
      <c r="P321" s="38">
        <f t="shared" si="123"/>
        <v>0</v>
      </c>
      <c r="Q321" s="39"/>
      <c r="R321" s="68"/>
    </row>
    <row r="322" spans="1:18" ht="18" customHeight="1">
      <c r="A322" s="80"/>
      <c r="B322" s="98"/>
      <c r="C322" s="99"/>
      <c r="D322" s="100"/>
      <c r="E322" s="101"/>
      <c r="F322" s="72">
        <v>2019</v>
      </c>
      <c r="G322" s="38">
        <f t="shared" si="119"/>
        <v>0</v>
      </c>
      <c r="H322" s="38">
        <f t="shared" si="119"/>
        <v>0</v>
      </c>
      <c r="I322" s="38">
        <v>0</v>
      </c>
      <c r="J322" s="38">
        <f aca="true" t="shared" si="124" ref="J322:P322">J329+J336</f>
        <v>0</v>
      </c>
      <c r="K322" s="38">
        <f t="shared" si="124"/>
        <v>0</v>
      </c>
      <c r="L322" s="38">
        <f t="shared" si="124"/>
        <v>0</v>
      </c>
      <c r="M322" s="38">
        <v>0</v>
      </c>
      <c r="N322" s="38">
        <f t="shared" si="124"/>
        <v>0</v>
      </c>
      <c r="O322" s="38">
        <f t="shared" si="124"/>
        <v>0</v>
      </c>
      <c r="P322" s="38">
        <f t="shared" si="124"/>
        <v>0</v>
      </c>
      <c r="Q322" s="39"/>
      <c r="R322" s="68"/>
    </row>
    <row r="323" spans="1:18" ht="21.75" customHeight="1">
      <c r="A323" s="82"/>
      <c r="B323" s="102"/>
      <c r="C323" s="103"/>
      <c r="D323" s="104"/>
      <c r="E323" s="105"/>
      <c r="F323" s="72">
        <v>2020</v>
      </c>
      <c r="G323" s="38">
        <v>0</v>
      </c>
      <c r="H323" s="38">
        <f t="shared" si="119"/>
        <v>0</v>
      </c>
      <c r="I323" s="38">
        <v>0</v>
      </c>
      <c r="J323" s="38">
        <f aca="true" t="shared" si="125" ref="J323:P323">J330+J337</f>
        <v>0</v>
      </c>
      <c r="K323" s="38">
        <f t="shared" si="125"/>
        <v>0</v>
      </c>
      <c r="L323" s="38">
        <f t="shared" si="125"/>
        <v>0</v>
      </c>
      <c r="M323" s="38">
        <v>0</v>
      </c>
      <c r="N323" s="38">
        <f t="shared" si="125"/>
        <v>0</v>
      </c>
      <c r="O323" s="38">
        <f t="shared" si="125"/>
        <v>0</v>
      </c>
      <c r="P323" s="38">
        <f t="shared" si="125"/>
        <v>0</v>
      </c>
      <c r="Q323" s="39"/>
      <c r="R323" s="68"/>
    </row>
    <row r="324" spans="1:18" ht="71.25" customHeight="1">
      <c r="A324" s="88" t="s">
        <v>373</v>
      </c>
      <c r="B324" s="79" t="s">
        <v>128</v>
      </c>
      <c r="C324" s="79">
        <v>1.3</v>
      </c>
      <c r="D324" s="79" t="s">
        <v>2</v>
      </c>
      <c r="E324" s="79"/>
      <c r="F324" s="79" t="s">
        <v>382</v>
      </c>
      <c r="G324" s="47">
        <f t="shared" si="119"/>
        <v>3750</v>
      </c>
      <c r="H324" s="47">
        <f t="shared" si="119"/>
        <v>0</v>
      </c>
      <c r="I324" s="47">
        <v>3750</v>
      </c>
      <c r="J324" s="47">
        <v>0</v>
      </c>
      <c r="K324" s="47">
        <v>0</v>
      </c>
      <c r="L324" s="47">
        <v>0</v>
      </c>
      <c r="M324" s="47">
        <v>0</v>
      </c>
      <c r="N324" s="47">
        <v>0</v>
      </c>
      <c r="O324" s="47">
        <v>0</v>
      </c>
      <c r="P324" s="47">
        <v>0</v>
      </c>
      <c r="Q324" s="48" t="s">
        <v>35</v>
      </c>
      <c r="R324" s="68"/>
    </row>
    <row r="325" spans="1:18" ht="29.25" customHeight="1">
      <c r="A325" s="63" t="s">
        <v>159</v>
      </c>
      <c r="B325" s="74" t="s">
        <v>156</v>
      </c>
      <c r="C325" s="74"/>
      <c r="D325" s="74"/>
      <c r="E325" s="44"/>
      <c r="F325" s="67" t="s">
        <v>98</v>
      </c>
      <c r="G325" s="40">
        <f>G332+G339</f>
        <v>1963356</v>
      </c>
      <c r="H325" s="40">
        <f aca="true" t="shared" si="126" ref="H325:P325">H332+H339</f>
        <v>218030.6</v>
      </c>
      <c r="I325" s="40">
        <f t="shared" si="126"/>
        <v>1329009.6</v>
      </c>
      <c r="J325" s="40">
        <f t="shared" si="126"/>
        <v>198752.7</v>
      </c>
      <c r="K325" s="40">
        <f t="shared" si="126"/>
        <v>0</v>
      </c>
      <c r="L325" s="40">
        <f t="shared" si="126"/>
        <v>0</v>
      </c>
      <c r="M325" s="40">
        <f t="shared" si="126"/>
        <v>634346.4</v>
      </c>
      <c r="N325" s="40">
        <f t="shared" si="126"/>
        <v>19277.9</v>
      </c>
      <c r="O325" s="40">
        <f t="shared" si="126"/>
        <v>0</v>
      </c>
      <c r="P325" s="40">
        <f t="shared" si="126"/>
        <v>0</v>
      </c>
      <c r="Q325" s="39"/>
      <c r="R325" s="68"/>
    </row>
    <row r="326" spans="1:18" ht="22.5" customHeight="1">
      <c r="A326" s="63"/>
      <c r="B326" s="74"/>
      <c r="C326" s="74"/>
      <c r="D326" s="74"/>
      <c r="E326" s="44"/>
      <c r="F326" s="72">
        <v>2015</v>
      </c>
      <c r="G326" s="38">
        <f aca="true" t="shared" si="127" ref="G326:P326">G333+G340</f>
        <v>63418.9</v>
      </c>
      <c r="H326" s="38">
        <f t="shared" si="127"/>
        <v>63418.9</v>
      </c>
      <c r="I326" s="38">
        <f t="shared" si="127"/>
        <v>56951.8</v>
      </c>
      <c r="J326" s="38">
        <f t="shared" si="127"/>
        <v>56951.8</v>
      </c>
      <c r="K326" s="38">
        <f t="shared" si="127"/>
        <v>0</v>
      </c>
      <c r="L326" s="38">
        <f t="shared" si="127"/>
        <v>0</v>
      </c>
      <c r="M326" s="38">
        <f t="shared" si="127"/>
        <v>6467.1</v>
      </c>
      <c r="N326" s="38">
        <f t="shared" si="127"/>
        <v>6467.1</v>
      </c>
      <c r="O326" s="38">
        <f t="shared" si="127"/>
        <v>0</v>
      </c>
      <c r="P326" s="38">
        <f t="shared" si="127"/>
        <v>0</v>
      </c>
      <c r="Q326" s="39"/>
      <c r="R326" s="68"/>
    </row>
    <row r="327" spans="1:18" ht="20.25" customHeight="1">
      <c r="A327" s="63"/>
      <c r="B327" s="74"/>
      <c r="C327" s="74"/>
      <c r="D327" s="74"/>
      <c r="E327" s="44"/>
      <c r="F327" s="72">
        <v>2016</v>
      </c>
      <c r="G327" s="38">
        <f aca="true" t="shared" si="128" ref="G327:P327">G334+G341</f>
        <v>23264.3</v>
      </c>
      <c r="H327" s="38">
        <f t="shared" si="128"/>
        <v>23264.3</v>
      </c>
      <c r="I327" s="38">
        <f>I334+I341</f>
        <v>13792.5</v>
      </c>
      <c r="J327" s="38">
        <f t="shared" si="128"/>
        <v>13792.5</v>
      </c>
      <c r="K327" s="38">
        <f t="shared" si="128"/>
        <v>0</v>
      </c>
      <c r="L327" s="38">
        <f t="shared" si="128"/>
        <v>0</v>
      </c>
      <c r="M327" s="38">
        <f t="shared" si="128"/>
        <v>9471.8</v>
      </c>
      <c r="N327" s="38">
        <f t="shared" si="128"/>
        <v>9471.8</v>
      </c>
      <c r="O327" s="38">
        <f t="shared" si="128"/>
        <v>0</v>
      </c>
      <c r="P327" s="38">
        <f t="shared" si="128"/>
        <v>0</v>
      </c>
      <c r="Q327" s="39"/>
      <c r="R327" s="68"/>
    </row>
    <row r="328" spans="1:18" ht="21.75" customHeight="1">
      <c r="A328" s="63"/>
      <c r="B328" s="74"/>
      <c r="C328" s="74"/>
      <c r="D328" s="74"/>
      <c r="E328" s="44"/>
      <c r="F328" s="72">
        <v>2017</v>
      </c>
      <c r="G328" s="38">
        <f>G335+G342</f>
        <v>131347.4</v>
      </c>
      <c r="H328" s="38">
        <f aca="true" t="shared" si="129" ref="H328:P328">H335+H342</f>
        <v>131347.4</v>
      </c>
      <c r="I328" s="38">
        <f t="shared" si="129"/>
        <v>128008.4</v>
      </c>
      <c r="J328" s="38">
        <f t="shared" si="129"/>
        <v>128008.4</v>
      </c>
      <c r="K328" s="38">
        <f t="shared" si="129"/>
        <v>0</v>
      </c>
      <c r="L328" s="38">
        <f t="shared" si="129"/>
        <v>0</v>
      </c>
      <c r="M328" s="38">
        <f t="shared" si="129"/>
        <v>3339</v>
      </c>
      <c r="N328" s="38">
        <f t="shared" si="129"/>
        <v>3339</v>
      </c>
      <c r="O328" s="38">
        <f t="shared" si="129"/>
        <v>0</v>
      </c>
      <c r="P328" s="38">
        <f t="shared" si="129"/>
        <v>0</v>
      </c>
      <c r="Q328" s="39"/>
      <c r="R328" s="68"/>
    </row>
    <row r="329" spans="1:18" ht="24" customHeight="1">
      <c r="A329" s="63"/>
      <c r="B329" s="74"/>
      <c r="C329" s="74"/>
      <c r="D329" s="74"/>
      <c r="E329" s="44"/>
      <c r="F329" s="72">
        <v>2018</v>
      </c>
      <c r="G329" s="38">
        <f aca="true" t="shared" si="130" ref="G329:P329">G336+G343</f>
        <v>1165101.3</v>
      </c>
      <c r="H329" s="38">
        <f t="shared" si="130"/>
        <v>0</v>
      </c>
      <c r="I329" s="38">
        <f>I336+I343</f>
        <v>625032.8</v>
      </c>
      <c r="J329" s="38">
        <f t="shared" si="130"/>
        <v>0</v>
      </c>
      <c r="K329" s="38">
        <f t="shared" si="130"/>
        <v>0</v>
      </c>
      <c r="L329" s="38">
        <f t="shared" si="130"/>
        <v>0</v>
      </c>
      <c r="M329" s="38">
        <f t="shared" si="130"/>
        <v>540068.5</v>
      </c>
      <c r="N329" s="38">
        <f t="shared" si="130"/>
        <v>0</v>
      </c>
      <c r="O329" s="38">
        <f t="shared" si="130"/>
        <v>0</v>
      </c>
      <c r="P329" s="38">
        <f t="shared" si="130"/>
        <v>0</v>
      </c>
      <c r="Q329" s="39"/>
      <c r="R329" s="68"/>
    </row>
    <row r="330" spans="1:18" ht="18" customHeight="1">
      <c r="A330" s="63"/>
      <c r="B330" s="74"/>
      <c r="C330" s="74"/>
      <c r="D330" s="74"/>
      <c r="E330" s="44"/>
      <c r="F330" s="72">
        <v>2019</v>
      </c>
      <c r="G330" s="38">
        <f aca="true" t="shared" si="131" ref="G330:P330">G337+G344</f>
        <v>371184.1</v>
      </c>
      <c r="H330" s="38">
        <f t="shared" si="131"/>
        <v>0</v>
      </c>
      <c r="I330" s="38">
        <f t="shared" si="131"/>
        <v>296184.1</v>
      </c>
      <c r="J330" s="38">
        <f t="shared" si="131"/>
        <v>0</v>
      </c>
      <c r="K330" s="38">
        <f t="shared" si="131"/>
        <v>0</v>
      </c>
      <c r="L330" s="38">
        <f t="shared" si="131"/>
        <v>0</v>
      </c>
      <c r="M330" s="38">
        <f t="shared" si="131"/>
        <v>75000</v>
      </c>
      <c r="N330" s="38">
        <f t="shared" si="131"/>
        <v>0</v>
      </c>
      <c r="O330" s="38">
        <f t="shared" si="131"/>
        <v>0</v>
      </c>
      <c r="P330" s="38">
        <f t="shared" si="131"/>
        <v>0</v>
      </c>
      <c r="Q330" s="39"/>
      <c r="R330" s="68"/>
    </row>
    <row r="331" spans="1:18" ht="21.75" customHeight="1">
      <c r="A331" s="63"/>
      <c r="B331" s="74"/>
      <c r="C331" s="74"/>
      <c r="D331" s="74"/>
      <c r="E331" s="44"/>
      <c r="F331" s="72">
        <v>2020</v>
      </c>
      <c r="G331" s="38">
        <f aca="true" t="shared" si="132" ref="G331:P331">G338+G345</f>
        <v>209040</v>
      </c>
      <c r="H331" s="38">
        <f t="shared" si="132"/>
        <v>0</v>
      </c>
      <c r="I331" s="38">
        <f t="shared" si="132"/>
        <v>209040</v>
      </c>
      <c r="J331" s="38">
        <f t="shared" si="132"/>
        <v>0</v>
      </c>
      <c r="K331" s="38">
        <f t="shared" si="132"/>
        <v>0</v>
      </c>
      <c r="L331" s="38">
        <f t="shared" si="132"/>
        <v>0</v>
      </c>
      <c r="M331" s="38">
        <f t="shared" si="132"/>
        <v>0</v>
      </c>
      <c r="N331" s="38">
        <f t="shared" si="132"/>
        <v>0</v>
      </c>
      <c r="O331" s="38">
        <f t="shared" si="132"/>
        <v>0</v>
      </c>
      <c r="P331" s="38">
        <f t="shared" si="132"/>
        <v>0</v>
      </c>
      <c r="Q331" s="39"/>
      <c r="R331" s="68"/>
    </row>
    <row r="332" spans="1:18" ht="19.5" customHeight="1">
      <c r="A332" s="63"/>
      <c r="B332" s="74" t="s">
        <v>189</v>
      </c>
      <c r="C332" s="74"/>
      <c r="D332" s="74"/>
      <c r="E332" s="44"/>
      <c r="F332" s="67" t="s">
        <v>98</v>
      </c>
      <c r="G332" s="40">
        <f aca="true" t="shared" si="133" ref="G332:G345">I332+K332+M332+O332</f>
        <v>582126.7000000001</v>
      </c>
      <c r="H332" s="40">
        <f aca="true" t="shared" si="134" ref="H332:H345">J332+L332+N332+P332</f>
        <v>40719.700000000004</v>
      </c>
      <c r="I332" s="40">
        <f aca="true" t="shared" si="135" ref="I332:P332">SUM(I333:I338)</f>
        <v>562848.8</v>
      </c>
      <c r="J332" s="40">
        <f t="shared" si="135"/>
        <v>21441.800000000003</v>
      </c>
      <c r="K332" s="40">
        <f t="shared" si="135"/>
        <v>0</v>
      </c>
      <c r="L332" s="40">
        <f t="shared" si="135"/>
        <v>0</v>
      </c>
      <c r="M332" s="40">
        <f t="shared" si="135"/>
        <v>19277.9</v>
      </c>
      <c r="N332" s="40">
        <f t="shared" si="135"/>
        <v>19277.9</v>
      </c>
      <c r="O332" s="40">
        <f t="shared" si="135"/>
        <v>0</v>
      </c>
      <c r="P332" s="40">
        <f t="shared" si="135"/>
        <v>0</v>
      </c>
      <c r="Q332" s="39"/>
      <c r="R332" s="68"/>
    </row>
    <row r="333" spans="1:18" ht="20.25" customHeight="1">
      <c r="A333" s="63"/>
      <c r="B333" s="74"/>
      <c r="C333" s="74"/>
      <c r="D333" s="74"/>
      <c r="E333" s="44"/>
      <c r="F333" s="72">
        <v>2015</v>
      </c>
      <c r="G333" s="38">
        <f t="shared" si="133"/>
        <v>13900</v>
      </c>
      <c r="H333" s="38">
        <f t="shared" si="134"/>
        <v>13900</v>
      </c>
      <c r="I333" s="38">
        <f aca="true" t="shared" si="136" ref="I333:P338">I192+I145</f>
        <v>7432.9</v>
      </c>
      <c r="J333" s="38">
        <f t="shared" si="136"/>
        <v>7432.9</v>
      </c>
      <c r="K333" s="38">
        <f t="shared" si="136"/>
        <v>0</v>
      </c>
      <c r="L333" s="38">
        <f t="shared" si="136"/>
        <v>0</v>
      </c>
      <c r="M333" s="38">
        <f t="shared" si="136"/>
        <v>6467.1</v>
      </c>
      <c r="N333" s="38">
        <f t="shared" si="136"/>
        <v>6467.1</v>
      </c>
      <c r="O333" s="38">
        <f t="shared" si="136"/>
        <v>0</v>
      </c>
      <c r="P333" s="38">
        <f t="shared" si="136"/>
        <v>0</v>
      </c>
      <c r="Q333" s="39"/>
      <c r="R333" s="68"/>
    </row>
    <row r="334" spans="1:18" ht="19.5" customHeight="1">
      <c r="A334" s="63"/>
      <c r="B334" s="74"/>
      <c r="C334" s="74"/>
      <c r="D334" s="74"/>
      <c r="E334" s="44"/>
      <c r="F334" s="72">
        <v>2016</v>
      </c>
      <c r="G334" s="38">
        <f t="shared" si="133"/>
        <v>19454.3</v>
      </c>
      <c r="H334" s="38">
        <f t="shared" si="134"/>
        <v>19454.3</v>
      </c>
      <c r="I334" s="38">
        <f t="shared" si="136"/>
        <v>9982.5</v>
      </c>
      <c r="J334" s="38">
        <f t="shared" si="136"/>
        <v>9982.5</v>
      </c>
      <c r="K334" s="38">
        <f t="shared" si="136"/>
        <v>0</v>
      </c>
      <c r="L334" s="38">
        <f t="shared" si="136"/>
        <v>0</v>
      </c>
      <c r="M334" s="38">
        <f t="shared" si="136"/>
        <v>9471.8</v>
      </c>
      <c r="N334" s="38">
        <f t="shared" si="136"/>
        <v>9471.8</v>
      </c>
      <c r="O334" s="38">
        <f t="shared" si="136"/>
        <v>0</v>
      </c>
      <c r="P334" s="38">
        <f t="shared" si="136"/>
        <v>0</v>
      </c>
      <c r="Q334" s="39"/>
      <c r="R334" s="68"/>
    </row>
    <row r="335" spans="1:18" ht="21.75" customHeight="1">
      <c r="A335" s="63"/>
      <c r="B335" s="74"/>
      <c r="C335" s="74"/>
      <c r="D335" s="74"/>
      <c r="E335" s="44"/>
      <c r="F335" s="72">
        <v>2017</v>
      </c>
      <c r="G335" s="38">
        <f t="shared" si="133"/>
        <v>7365.4</v>
      </c>
      <c r="H335" s="38">
        <f t="shared" si="134"/>
        <v>7365.4</v>
      </c>
      <c r="I335" s="38">
        <f t="shared" si="136"/>
        <v>4026.4</v>
      </c>
      <c r="J335" s="38">
        <f t="shared" si="136"/>
        <v>4026.4</v>
      </c>
      <c r="K335" s="38">
        <f t="shared" si="136"/>
        <v>0</v>
      </c>
      <c r="L335" s="38">
        <f t="shared" si="136"/>
        <v>0</v>
      </c>
      <c r="M335" s="38">
        <f t="shared" si="136"/>
        <v>3339</v>
      </c>
      <c r="N335" s="38">
        <f t="shared" si="136"/>
        <v>3339</v>
      </c>
      <c r="O335" s="38">
        <f t="shared" si="136"/>
        <v>0</v>
      </c>
      <c r="P335" s="38">
        <f t="shared" si="136"/>
        <v>0</v>
      </c>
      <c r="Q335" s="39"/>
      <c r="R335" s="68"/>
    </row>
    <row r="336" spans="1:18" ht="21.75" customHeight="1">
      <c r="A336" s="63"/>
      <c r="B336" s="74"/>
      <c r="C336" s="74"/>
      <c r="D336" s="74"/>
      <c r="E336" s="44"/>
      <c r="F336" s="72">
        <v>2018</v>
      </c>
      <c r="G336" s="38">
        <f t="shared" si="133"/>
        <v>146955</v>
      </c>
      <c r="H336" s="38">
        <f t="shared" si="134"/>
        <v>0</v>
      </c>
      <c r="I336" s="38">
        <f t="shared" si="136"/>
        <v>146955</v>
      </c>
      <c r="J336" s="38">
        <f t="shared" si="136"/>
        <v>0</v>
      </c>
      <c r="K336" s="38">
        <f t="shared" si="136"/>
        <v>0</v>
      </c>
      <c r="L336" s="38">
        <f t="shared" si="136"/>
        <v>0</v>
      </c>
      <c r="M336" s="38">
        <f t="shared" si="136"/>
        <v>0</v>
      </c>
      <c r="N336" s="38">
        <f t="shared" si="136"/>
        <v>0</v>
      </c>
      <c r="O336" s="38">
        <f t="shared" si="136"/>
        <v>0</v>
      </c>
      <c r="P336" s="38">
        <f t="shared" si="136"/>
        <v>0</v>
      </c>
      <c r="Q336" s="39"/>
      <c r="R336" s="68"/>
    </row>
    <row r="337" spans="1:18" ht="18.75" customHeight="1">
      <c r="A337" s="63"/>
      <c r="B337" s="74"/>
      <c r="C337" s="74"/>
      <c r="D337" s="74"/>
      <c r="E337" s="44"/>
      <c r="F337" s="72">
        <v>2019</v>
      </c>
      <c r="G337" s="38">
        <f t="shared" si="133"/>
        <v>185412</v>
      </c>
      <c r="H337" s="38">
        <f t="shared" si="134"/>
        <v>0</v>
      </c>
      <c r="I337" s="38">
        <f t="shared" si="136"/>
        <v>185412</v>
      </c>
      <c r="J337" s="38">
        <f t="shared" si="136"/>
        <v>0</v>
      </c>
      <c r="K337" s="38">
        <f t="shared" si="136"/>
        <v>0</v>
      </c>
      <c r="L337" s="38">
        <f t="shared" si="136"/>
        <v>0</v>
      </c>
      <c r="M337" s="38">
        <f t="shared" si="136"/>
        <v>0</v>
      </c>
      <c r="N337" s="38">
        <f t="shared" si="136"/>
        <v>0</v>
      </c>
      <c r="O337" s="38">
        <f t="shared" si="136"/>
        <v>0</v>
      </c>
      <c r="P337" s="38">
        <f t="shared" si="136"/>
        <v>0</v>
      </c>
      <c r="Q337" s="39"/>
      <c r="R337" s="68"/>
    </row>
    <row r="338" spans="1:18" ht="20.25" customHeight="1">
      <c r="A338" s="63"/>
      <c r="B338" s="74"/>
      <c r="C338" s="74"/>
      <c r="D338" s="74"/>
      <c r="E338" s="44"/>
      <c r="F338" s="72">
        <v>2020</v>
      </c>
      <c r="G338" s="38">
        <f t="shared" si="133"/>
        <v>209040</v>
      </c>
      <c r="H338" s="38">
        <f t="shared" si="134"/>
        <v>0</v>
      </c>
      <c r="I338" s="38">
        <f t="shared" si="136"/>
        <v>209040</v>
      </c>
      <c r="J338" s="38">
        <f t="shared" si="136"/>
        <v>0</v>
      </c>
      <c r="K338" s="38">
        <f t="shared" si="136"/>
        <v>0</v>
      </c>
      <c r="L338" s="38">
        <f t="shared" si="136"/>
        <v>0</v>
      </c>
      <c r="M338" s="38">
        <f t="shared" si="136"/>
        <v>0</v>
      </c>
      <c r="N338" s="38">
        <f t="shared" si="136"/>
        <v>0</v>
      </c>
      <c r="O338" s="38">
        <f t="shared" si="136"/>
        <v>0</v>
      </c>
      <c r="P338" s="38">
        <f t="shared" si="136"/>
        <v>0</v>
      </c>
      <c r="Q338" s="39"/>
      <c r="R338" s="68"/>
    </row>
    <row r="339" spans="1:18" ht="18" customHeight="1">
      <c r="A339" s="63"/>
      <c r="B339" s="74" t="s">
        <v>123</v>
      </c>
      <c r="C339" s="74"/>
      <c r="D339" s="74"/>
      <c r="E339" s="44"/>
      <c r="F339" s="67" t="s">
        <v>98</v>
      </c>
      <c r="G339" s="40">
        <f t="shared" si="133"/>
        <v>1381229.3</v>
      </c>
      <c r="H339" s="40">
        <f t="shared" si="134"/>
        <v>177310.9</v>
      </c>
      <c r="I339" s="40">
        <f aca="true" t="shared" si="137" ref="I339:P339">SUM(I340:I345)</f>
        <v>766160.8</v>
      </c>
      <c r="J339" s="40">
        <f t="shared" si="137"/>
        <v>177310.9</v>
      </c>
      <c r="K339" s="40">
        <f t="shared" si="137"/>
        <v>0</v>
      </c>
      <c r="L339" s="40">
        <f t="shared" si="137"/>
        <v>0</v>
      </c>
      <c r="M339" s="40">
        <f t="shared" si="137"/>
        <v>615068.5</v>
      </c>
      <c r="N339" s="40">
        <f t="shared" si="137"/>
        <v>0</v>
      </c>
      <c r="O339" s="40">
        <f t="shared" si="137"/>
        <v>0</v>
      </c>
      <c r="P339" s="40">
        <f t="shared" si="137"/>
        <v>0</v>
      </c>
      <c r="Q339" s="39"/>
      <c r="R339" s="68"/>
    </row>
    <row r="340" spans="1:18" ht="21.75" customHeight="1">
      <c r="A340" s="63"/>
      <c r="B340" s="74"/>
      <c r="C340" s="74"/>
      <c r="D340" s="74"/>
      <c r="E340" s="44"/>
      <c r="F340" s="72">
        <v>2015</v>
      </c>
      <c r="G340" s="38">
        <f t="shared" si="133"/>
        <v>49518.9</v>
      </c>
      <c r="H340" s="38">
        <f t="shared" si="134"/>
        <v>49518.9</v>
      </c>
      <c r="I340" s="38">
        <f aca="true" t="shared" si="138" ref="I340:P345">I199+I152</f>
        <v>49518.9</v>
      </c>
      <c r="J340" s="38">
        <f t="shared" si="138"/>
        <v>49518.9</v>
      </c>
      <c r="K340" s="38">
        <f t="shared" si="138"/>
        <v>0</v>
      </c>
      <c r="L340" s="38">
        <f t="shared" si="138"/>
        <v>0</v>
      </c>
      <c r="M340" s="38">
        <f t="shared" si="138"/>
        <v>0</v>
      </c>
      <c r="N340" s="38">
        <f t="shared" si="138"/>
        <v>0</v>
      </c>
      <c r="O340" s="38">
        <f t="shared" si="138"/>
        <v>0</v>
      </c>
      <c r="P340" s="38">
        <f t="shared" si="138"/>
        <v>0</v>
      </c>
      <c r="Q340" s="39"/>
      <c r="R340" s="68"/>
    </row>
    <row r="341" spans="1:18" ht="19.5" customHeight="1">
      <c r="A341" s="63"/>
      <c r="B341" s="74"/>
      <c r="C341" s="74"/>
      <c r="D341" s="74"/>
      <c r="E341" s="44"/>
      <c r="F341" s="72">
        <v>2016</v>
      </c>
      <c r="G341" s="38">
        <f t="shared" si="133"/>
        <v>3810</v>
      </c>
      <c r="H341" s="38">
        <f t="shared" si="134"/>
        <v>3810</v>
      </c>
      <c r="I341" s="38">
        <f t="shared" si="138"/>
        <v>3810</v>
      </c>
      <c r="J341" s="38">
        <f t="shared" si="138"/>
        <v>3810</v>
      </c>
      <c r="K341" s="38">
        <f t="shared" si="138"/>
        <v>0</v>
      </c>
      <c r="L341" s="38">
        <f t="shared" si="138"/>
        <v>0</v>
      </c>
      <c r="M341" s="38">
        <f t="shared" si="138"/>
        <v>0</v>
      </c>
      <c r="N341" s="38">
        <f t="shared" si="138"/>
        <v>0</v>
      </c>
      <c r="O341" s="38">
        <f t="shared" si="138"/>
        <v>0</v>
      </c>
      <c r="P341" s="38">
        <f t="shared" si="138"/>
        <v>0</v>
      </c>
      <c r="Q341" s="39"/>
      <c r="R341" s="68"/>
    </row>
    <row r="342" spans="1:18" ht="18.75" customHeight="1">
      <c r="A342" s="63"/>
      <c r="B342" s="74"/>
      <c r="C342" s="74"/>
      <c r="D342" s="74"/>
      <c r="E342" s="44"/>
      <c r="F342" s="72">
        <v>2017</v>
      </c>
      <c r="G342" s="38">
        <f>I342+K342+M342+O342</f>
        <v>123982</v>
      </c>
      <c r="H342" s="38">
        <f t="shared" si="134"/>
        <v>123982</v>
      </c>
      <c r="I342" s="38">
        <f t="shared" si="138"/>
        <v>123982</v>
      </c>
      <c r="J342" s="38">
        <f t="shared" si="138"/>
        <v>123982</v>
      </c>
      <c r="K342" s="38">
        <f t="shared" si="138"/>
        <v>0</v>
      </c>
      <c r="L342" s="38">
        <f t="shared" si="138"/>
        <v>0</v>
      </c>
      <c r="M342" s="38">
        <f t="shared" si="138"/>
        <v>0</v>
      </c>
      <c r="N342" s="38">
        <f t="shared" si="138"/>
        <v>0</v>
      </c>
      <c r="O342" s="38">
        <f t="shared" si="138"/>
        <v>0</v>
      </c>
      <c r="P342" s="38">
        <f t="shared" si="138"/>
        <v>0</v>
      </c>
      <c r="Q342" s="39"/>
      <c r="R342" s="68"/>
    </row>
    <row r="343" spans="1:18" ht="17.25" customHeight="1">
      <c r="A343" s="63"/>
      <c r="B343" s="74"/>
      <c r="C343" s="74"/>
      <c r="D343" s="74"/>
      <c r="E343" s="44"/>
      <c r="F343" s="72">
        <v>2018</v>
      </c>
      <c r="G343" s="38">
        <f t="shared" si="133"/>
        <v>1018146.3</v>
      </c>
      <c r="H343" s="38">
        <f t="shared" si="134"/>
        <v>0</v>
      </c>
      <c r="I343" s="38">
        <f t="shared" si="138"/>
        <v>478077.80000000005</v>
      </c>
      <c r="J343" s="38">
        <f t="shared" si="138"/>
        <v>0</v>
      </c>
      <c r="K343" s="38">
        <f t="shared" si="138"/>
        <v>0</v>
      </c>
      <c r="L343" s="38">
        <f t="shared" si="138"/>
        <v>0</v>
      </c>
      <c r="M343" s="38">
        <f t="shared" si="138"/>
        <v>540068.5</v>
      </c>
      <c r="N343" s="38">
        <f t="shared" si="138"/>
        <v>0</v>
      </c>
      <c r="O343" s="38">
        <f t="shared" si="138"/>
        <v>0</v>
      </c>
      <c r="P343" s="38">
        <f t="shared" si="138"/>
        <v>0</v>
      </c>
      <c r="Q343" s="39"/>
      <c r="R343" s="68"/>
    </row>
    <row r="344" spans="1:18" ht="19.5" customHeight="1">
      <c r="A344" s="63"/>
      <c r="B344" s="74"/>
      <c r="C344" s="74"/>
      <c r="D344" s="74"/>
      <c r="E344" s="44"/>
      <c r="F344" s="72">
        <v>2019</v>
      </c>
      <c r="G344" s="38">
        <f t="shared" si="133"/>
        <v>185772.1</v>
      </c>
      <c r="H344" s="38">
        <f t="shared" si="134"/>
        <v>0</v>
      </c>
      <c r="I344" s="38">
        <f t="shared" si="138"/>
        <v>110772.1</v>
      </c>
      <c r="J344" s="38">
        <f t="shared" si="138"/>
        <v>0</v>
      </c>
      <c r="K344" s="38">
        <f t="shared" si="138"/>
        <v>0</v>
      </c>
      <c r="L344" s="38">
        <f t="shared" si="138"/>
        <v>0</v>
      </c>
      <c r="M344" s="38">
        <f t="shared" si="138"/>
        <v>75000</v>
      </c>
      <c r="N344" s="38">
        <f t="shared" si="138"/>
        <v>0</v>
      </c>
      <c r="O344" s="38">
        <f t="shared" si="138"/>
        <v>0</v>
      </c>
      <c r="P344" s="38">
        <f t="shared" si="138"/>
        <v>0</v>
      </c>
      <c r="Q344" s="39"/>
      <c r="R344" s="68"/>
    </row>
    <row r="345" spans="1:18" ht="18" customHeight="1">
      <c r="A345" s="63"/>
      <c r="B345" s="74"/>
      <c r="C345" s="74"/>
      <c r="D345" s="74"/>
      <c r="E345" s="44"/>
      <c r="F345" s="72">
        <v>2020</v>
      </c>
      <c r="G345" s="38">
        <f t="shared" si="133"/>
        <v>0</v>
      </c>
      <c r="H345" s="38">
        <f t="shared" si="134"/>
        <v>0</v>
      </c>
      <c r="I345" s="38">
        <f t="shared" si="138"/>
        <v>0</v>
      </c>
      <c r="J345" s="38">
        <f t="shared" si="138"/>
        <v>0</v>
      </c>
      <c r="K345" s="38">
        <f t="shared" si="138"/>
        <v>0</v>
      </c>
      <c r="L345" s="38">
        <f t="shared" si="138"/>
        <v>0</v>
      </c>
      <c r="M345" s="38">
        <f t="shared" si="138"/>
        <v>0</v>
      </c>
      <c r="N345" s="38">
        <f t="shared" si="138"/>
        <v>0</v>
      </c>
      <c r="O345" s="38">
        <f t="shared" si="138"/>
        <v>0</v>
      </c>
      <c r="P345" s="38">
        <f t="shared" si="138"/>
        <v>0</v>
      </c>
      <c r="Q345" s="39"/>
      <c r="R345" s="68"/>
    </row>
    <row r="346" spans="1:18" ht="19.5" customHeight="1">
      <c r="A346" s="63"/>
      <c r="B346" s="74" t="s">
        <v>157</v>
      </c>
      <c r="C346" s="74"/>
      <c r="D346" s="74"/>
      <c r="E346" s="44"/>
      <c r="F346" s="67" t="s">
        <v>98</v>
      </c>
      <c r="G346" s="40">
        <f>(G353+G360+G370)</f>
        <v>6000049</v>
      </c>
      <c r="H346" s="40">
        <f aca="true" t="shared" si="139" ref="H346:H352">H353+H360+H367</f>
        <v>549882.3</v>
      </c>
      <c r="I346" s="40">
        <f>(I353+I360+I370)</f>
        <v>1979075.5</v>
      </c>
      <c r="J346" s="40">
        <f>J353+J360+J367</f>
        <v>400604.4</v>
      </c>
      <c r="K346" s="40">
        <f>(K353+K360+K370)</f>
        <v>1896553.5</v>
      </c>
      <c r="L346" s="40">
        <f>L353+L360+L367</f>
        <v>100000</v>
      </c>
      <c r="M346" s="40">
        <f>(M353+M360+M370)</f>
        <v>2124420</v>
      </c>
      <c r="N346" s="40">
        <f>N353+N360+N367</f>
        <v>49277.9</v>
      </c>
      <c r="O346" s="40">
        <f>(O353+O360+O370)</f>
        <v>0</v>
      </c>
      <c r="P346" s="40">
        <f>P353+P360+P367</f>
        <v>0</v>
      </c>
      <c r="Q346" s="39"/>
      <c r="R346" s="68"/>
    </row>
    <row r="347" spans="1:18" ht="22.5" customHeight="1">
      <c r="A347" s="63"/>
      <c r="B347" s="74"/>
      <c r="C347" s="74"/>
      <c r="D347" s="74"/>
      <c r="E347" s="44"/>
      <c r="F347" s="72">
        <v>2015</v>
      </c>
      <c r="G347" s="38">
        <f aca="true" t="shared" si="140" ref="G347:G352">G354+G361+G368</f>
        <v>123108.90000000001</v>
      </c>
      <c r="H347" s="38">
        <f t="shared" si="139"/>
        <v>123108.90000000001</v>
      </c>
      <c r="I347" s="38">
        <f aca="true" t="shared" si="141" ref="I347:I352">I354+I361+I368</f>
        <v>116641.80000000002</v>
      </c>
      <c r="J347" s="38">
        <f>J354+J361+J368</f>
        <v>116641.80000000002</v>
      </c>
      <c r="K347" s="38">
        <f aca="true" t="shared" si="142" ref="K347:P347">K354+K361</f>
        <v>0</v>
      </c>
      <c r="L347" s="38">
        <f t="shared" si="142"/>
        <v>0</v>
      </c>
      <c r="M347" s="38">
        <f t="shared" si="142"/>
        <v>6467.1</v>
      </c>
      <c r="N347" s="38">
        <f t="shared" si="142"/>
        <v>6467.1</v>
      </c>
      <c r="O347" s="38">
        <f t="shared" si="142"/>
        <v>0</v>
      </c>
      <c r="P347" s="38">
        <f t="shared" si="142"/>
        <v>0</v>
      </c>
      <c r="Q347" s="39"/>
      <c r="R347" s="68"/>
    </row>
    <row r="348" spans="1:18" ht="20.25" customHeight="1">
      <c r="A348" s="63"/>
      <c r="B348" s="74"/>
      <c r="C348" s="74"/>
      <c r="D348" s="74"/>
      <c r="E348" s="44"/>
      <c r="F348" s="72">
        <v>2016</v>
      </c>
      <c r="G348" s="38">
        <f t="shared" si="140"/>
        <v>103625.1</v>
      </c>
      <c r="H348" s="38">
        <f t="shared" si="139"/>
        <v>103625.1</v>
      </c>
      <c r="I348" s="38">
        <f t="shared" si="141"/>
        <v>94153.30000000002</v>
      </c>
      <c r="J348" s="38">
        <f>J355+J362+J369</f>
        <v>94153.30000000002</v>
      </c>
      <c r="K348" s="38">
        <f aca="true" t="shared" si="143" ref="K348:P348">K355+K362</f>
        <v>0</v>
      </c>
      <c r="L348" s="38">
        <f t="shared" si="143"/>
        <v>0</v>
      </c>
      <c r="M348" s="38">
        <f t="shared" si="143"/>
        <v>9471.8</v>
      </c>
      <c r="N348" s="38">
        <f t="shared" si="143"/>
        <v>9471.8</v>
      </c>
      <c r="O348" s="38">
        <f t="shared" si="143"/>
        <v>0</v>
      </c>
      <c r="P348" s="38">
        <f t="shared" si="143"/>
        <v>0</v>
      </c>
      <c r="Q348" s="39"/>
      <c r="R348" s="68"/>
    </row>
    <row r="349" spans="1:18" ht="21.75" customHeight="1">
      <c r="A349" s="63"/>
      <c r="B349" s="74"/>
      <c r="C349" s="74"/>
      <c r="D349" s="74"/>
      <c r="E349" s="44"/>
      <c r="F349" s="72">
        <v>2017</v>
      </c>
      <c r="G349" s="38">
        <f>G356+G363+G370</f>
        <v>404118.8</v>
      </c>
      <c r="H349" s="38">
        <f t="shared" si="139"/>
        <v>323148.3</v>
      </c>
      <c r="I349" s="38">
        <f t="shared" si="141"/>
        <v>189809.3</v>
      </c>
      <c r="J349" s="38">
        <f>J356+J363+J370</f>
        <v>189809.3</v>
      </c>
      <c r="K349" s="38">
        <f aca="true" t="shared" si="144" ref="K349:P349">K356+K363+K370</f>
        <v>100000</v>
      </c>
      <c r="L349" s="38">
        <f t="shared" si="144"/>
        <v>100000</v>
      </c>
      <c r="M349" s="38">
        <f t="shared" si="144"/>
        <v>114309.5</v>
      </c>
      <c r="N349" s="38">
        <f t="shared" si="144"/>
        <v>33339</v>
      </c>
      <c r="O349" s="38">
        <f t="shared" si="144"/>
        <v>0</v>
      </c>
      <c r="P349" s="38">
        <f t="shared" si="144"/>
        <v>0</v>
      </c>
      <c r="Q349" s="39"/>
      <c r="R349" s="68"/>
    </row>
    <row r="350" spans="1:18" ht="24" customHeight="1">
      <c r="A350" s="63"/>
      <c r="B350" s="74"/>
      <c r="C350" s="74"/>
      <c r="D350" s="74"/>
      <c r="E350" s="44"/>
      <c r="F350" s="72">
        <v>2018</v>
      </c>
      <c r="G350" s="38">
        <f t="shared" si="140"/>
        <v>3817247.3</v>
      </c>
      <c r="H350" s="38">
        <f t="shared" si="139"/>
        <v>0</v>
      </c>
      <c r="I350" s="38">
        <f t="shared" si="141"/>
        <v>955466.6000000001</v>
      </c>
      <c r="J350" s="38">
        <f aca="true" t="shared" si="145" ref="J350:P350">J357+J364</f>
        <v>0</v>
      </c>
      <c r="K350" s="38">
        <f t="shared" si="145"/>
        <v>1796553.5</v>
      </c>
      <c r="L350" s="38">
        <f t="shared" si="145"/>
        <v>0</v>
      </c>
      <c r="M350" s="38">
        <f t="shared" si="145"/>
        <v>1065227.2</v>
      </c>
      <c r="N350" s="38">
        <f t="shared" si="145"/>
        <v>0</v>
      </c>
      <c r="O350" s="38">
        <f t="shared" si="145"/>
        <v>0</v>
      </c>
      <c r="P350" s="38">
        <f t="shared" si="145"/>
        <v>0</v>
      </c>
      <c r="Q350" s="39"/>
      <c r="R350" s="68"/>
    </row>
    <row r="351" spans="1:18" ht="18" customHeight="1">
      <c r="A351" s="63"/>
      <c r="B351" s="74"/>
      <c r="C351" s="74"/>
      <c r="D351" s="74"/>
      <c r="E351" s="44"/>
      <c r="F351" s="72">
        <v>2019</v>
      </c>
      <c r="G351" s="38">
        <f t="shared" si="140"/>
        <v>876025</v>
      </c>
      <c r="H351" s="38">
        <f t="shared" si="139"/>
        <v>0</v>
      </c>
      <c r="I351" s="38">
        <f t="shared" si="141"/>
        <v>374052.80000000005</v>
      </c>
      <c r="J351" s="38">
        <f aca="true" t="shared" si="146" ref="J351:P351">J358+J365</f>
        <v>0</v>
      </c>
      <c r="K351" s="38">
        <f t="shared" si="146"/>
        <v>0</v>
      </c>
      <c r="L351" s="38">
        <f t="shared" si="146"/>
        <v>0</v>
      </c>
      <c r="M351" s="38">
        <f t="shared" si="146"/>
        <v>501972.2</v>
      </c>
      <c r="N351" s="38">
        <f t="shared" si="146"/>
        <v>0</v>
      </c>
      <c r="O351" s="38">
        <f t="shared" si="146"/>
        <v>0</v>
      </c>
      <c r="P351" s="38">
        <f t="shared" si="146"/>
        <v>0</v>
      </c>
      <c r="Q351" s="39"/>
      <c r="R351" s="68"/>
    </row>
    <row r="352" spans="1:18" ht="21.75" customHeight="1">
      <c r="A352" s="63"/>
      <c r="B352" s="74"/>
      <c r="C352" s="74"/>
      <c r="D352" s="74"/>
      <c r="E352" s="44"/>
      <c r="F352" s="72">
        <v>2020</v>
      </c>
      <c r="G352" s="38">
        <f t="shared" si="140"/>
        <v>675923.9</v>
      </c>
      <c r="H352" s="38">
        <f t="shared" si="139"/>
        <v>0</v>
      </c>
      <c r="I352" s="38">
        <f t="shared" si="141"/>
        <v>248951.7</v>
      </c>
      <c r="J352" s="38">
        <f aca="true" t="shared" si="147" ref="J352:P352">J359+J366</f>
        <v>0</v>
      </c>
      <c r="K352" s="38">
        <f t="shared" si="147"/>
        <v>0</v>
      </c>
      <c r="L352" s="38">
        <f t="shared" si="147"/>
        <v>0</v>
      </c>
      <c r="M352" s="38">
        <f t="shared" si="147"/>
        <v>426972.2</v>
      </c>
      <c r="N352" s="38">
        <f t="shared" si="147"/>
        <v>0</v>
      </c>
      <c r="O352" s="38">
        <f t="shared" si="147"/>
        <v>0</v>
      </c>
      <c r="P352" s="38">
        <f t="shared" si="147"/>
        <v>0</v>
      </c>
      <c r="Q352" s="39"/>
      <c r="R352" s="68"/>
    </row>
    <row r="353" spans="1:18" ht="19.5" customHeight="1">
      <c r="A353" s="63"/>
      <c r="B353" s="74" t="s">
        <v>189</v>
      </c>
      <c r="C353" s="74"/>
      <c r="D353" s="74"/>
      <c r="E353" s="44"/>
      <c r="F353" s="67" t="s">
        <v>98</v>
      </c>
      <c r="G353" s="40">
        <f aca="true" t="shared" si="148" ref="G353:G366">I353+K353+M353+O353</f>
        <v>1026339.0000000001</v>
      </c>
      <c r="H353" s="40">
        <f aca="true" t="shared" si="149" ref="H353:H373">J353+L353+N353+P353</f>
        <v>49446.600000000006</v>
      </c>
      <c r="I353" s="40">
        <f aca="true" t="shared" si="150" ref="I353:P353">SUM(I354:I359)</f>
        <v>992061.1000000001</v>
      </c>
      <c r="J353" s="40">
        <f t="shared" si="150"/>
        <v>30168.7</v>
      </c>
      <c r="K353" s="40">
        <f t="shared" si="150"/>
        <v>0</v>
      </c>
      <c r="L353" s="40">
        <f t="shared" si="150"/>
        <v>0</v>
      </c>
      <c r="M353" s="40">
        <f t="shared" si="150"/>
        <v>34277.9</v>
      </c>
      <c r="N353" s="40">
        <f t="shared" si="150"/>
        <v>19277.9</v>
      </c>
      <c r="O353" s="40">
        <f t="shared" si="150"/>
        <v>0</v>
      </c>
      <c r="P353" s="40">
        <f t="shared" si="150"/>
        <v>0</v>
      </c>
      <c r="Q353" s="39"/>
      <c r="R353" s="68"/>
    </row>
    <row r="354" spans="1:18" ht="20.25" customHeight="1">
      <c r="A354" s="63"/>
      <c r="B354" s="74"/>
      <c r="C354" s="74"/>
      <c r="D354" s="74"/>
      <c r="E354" s="44"/>
      <c r="F354" s="72">
        <v>2015</v>
      </c>
      <c r="G354" s="38">
        <f t="shared" si="148"/>
        <v>14081.7</v>
      </c>
      <c r="H354" s="38">
        <f t="shared" si="149"/>
        <v>14081.7</v>
      </c>
      <c r="I354" s="38">
        <f aca="true" t="shared" si="151" ref="I354:P359">I333+I116</f>
        <v>7614.599999999999</v>
      </c>
      <c r="J354" s="38">
        <f t="shared" si="151"/>
        <v>7614.599999999999</v>
      </c>
      <c r="K354" s="38">
        <f t="shared" si="151"/>
        <v>0</v>
      </c>
      <c r="L354" s="38">
        <f t="shared" si="151"/>
        <v>0</v>
      </c>
      <c r="M354" s="38">
        <f t="shared" si="151"/>
        <v>6467.1</v>
      </c>
      <c r="N354" s="38">
        <f t="shared" si="151"/>
        <v>6467.1</v>
      </c>
      <c r="O354" s="38">
        <f t="shared" si="151"/>
        <v>0</v>
      </c>
      <c r="P354" s="38">
        <f t="shared" si="151"/>
        <v>0</v>
      </c>
      <c r="Q354" s="39"/>
      <c r="R354" s="68"/>
    </row>
    <row r="355" spans="1:18" ht="19.5" customHeight="1">
      <c r="A355" s="63"/>
      <c r="B355" s="74"/>
      <c r="C355" s="74"/>
      <c r="D355" s="74"/>
      <c r="E355" s="44"/>
      <c r="F355" s="72">
        <v>2016</v>
      </c>
      <c r="G355" s="38">
        <f t="shared" si="148"/>
        <v>20005.4</v>
      </c>
      <c r="H355" s="38">
        <f t="shared" si="149"/>
        <v>20005.4</v>
      </c>
      <c r="I355" s="38">
        <f t="shared" si="151"/>
        <v>10533.6</v>
      </c>
      <c r="J355" s="38">
        <f t="shared" si="151"/>
        <v>10533.6</v>
      </c>
      <c r="K355" s="38">
        <f t="shared" si="151"/>
        <v>0</v>
      </c>
      <c r="L355" s="38">
        <f t="shared" si="151"/>
        <v>0</v>
      </c>
      <c r="M355" s="38">
        <f t="shared" si="151"/>
        <v>9471.8</v>
      </c>
      <c r="N355" s="38">
        <f t="shared" si="151"/>
        <v>9471.8</v>
      </c>
      <c r="O355" s="38">
        <f t="shared" si="151"/>
        <v>0</v>
      </c>
      <c r="P355" s="38">
        <f t="shared" si="151"/>
        <v>0</v>
      </c>
      <c r="Q355" s="39"/>
      <c r="R355" s="68"/>
    </row>
    <row r="356" spans="1:18" ht="21.75" customHeight="1">
      <c r="A356" s="63"/>
      <c r="B356" s="74"/>
      <c r="C356" s="74"/>
      <c r="D356" s="74"/>
      <c r="E356" s="44"/>
      <c r="F356" s="72">
        <v>2017</v>
      </c>
      <c r="G356" s="38">
        <f t="shared" si="148"/>
        <v>15359.5</v>
      </c>
      <c r="H356" s="38">
        <f t="shared" si="149"/>
        <v>15359.5</v>
      </c>
      <c r="I356" s="38">
        <f t="shared" si="151"/>
        <v>12020.5</v>
      </c>
      <c r="J356" s="38">
        <f t="shared" si="151"/>
        <v>12020.5</v>
      </c>
      <c r="K356" s="38">
        <f t="shared" si="151"/>
        <v>0</v>
      </c>
      <c r="L356" s="38">
        <f t="shared" si="151"/>
        <v>0</v>
      </c>
      <c r="M356" s="38">
        <f t="shared" si="151"/>
        <v>3339</v>
      </c>
      <c r="N356" s="38">
        <f t="shared" si="151"/>
        <v>3339</v>
      </c>
      <c r="O356" s="38">
        <f t="shared" si="151"/>
        <v>0</v>
      </c>
      <c r="P356" s="38">
        <f t="shared" si="151"/>
        <v>0</v>
      </c>
      <c r="Q356" s="39"/>
      <c r="R356" s="68"/>
    </row>
    <row r="357" spans="1:18" ht="21.75" customHeight="1">
      <c r="A357" s="63"/>
      <c r="B357" s="74"/>
      <c r="C357" s="74"/>
      <c r="D357" s="74"/>
      <c r="E357" s="44"/>
      <c r="F357" s="72">
        <v>2018</v>
      </c>
      <c r="G357" s="38">
        <f t="shared" si="148"/>
        <v>464660</v>
      </c>
      <c r="H357" s="38">
        <f t="shared" si="149"/>
        <v>0</v>
      </c>
      <c r="I357" s="38">
        <f t="shared" si="151"/>
        <v>449660</v>
      </c>
      <c r="J357" s="38">
        <f t="shared" si="151"/>
        <v>0</v>
      </c>
      <c r="K357" s="38">
        <f t="shared" si="151"/>
        <v>0</v>
      </c>
      <c r="L357" s="38">
        <f t="shared" si="151"/>
        <v>0</v>
      </c>
      <c r="M357" s="38">
        <f t="shared" si="151"/>
        <v>15000</v>
      </c>
      <c r="N357" s="38">
        <f t="shared" si="151"/>
        <v>0</v>
      </c>
      <c r="O357" s="38">
        <f t="shared" si="151"/>
        <v>0</v>
      </c>
      <c r="P357" s="38">
        <f t="shared" si="151"/>
        <v>0</v>
      </c>
      <c r="Q357" s="39"/>
      <c r="R357" s="68"/>
    </row>
    <row r="358" spans="1:18" ht="18.75" customHeight="1">
      <c r="A358" s="63"/>
      <c r="B358" s="74"/>
      <c r="C358" s="74"/>
      <c r="D358" s="74"/>
      <c r="E358" s="44"/>
      <c r="F358" s="72">
        <v>2019</v>
      </c>
      <c r="G358" s="38">
        <f t="shared" si="148"/>
        <v>263280.7</v>
      </c>
      <c r="H358" s="38">
        <f t="shared" si="149"/>
        <v>0</v>
      </c>
      <c r="I358" s="38">
        <f t="shared" si="151"/>
        <v>263280.7</v>
      </c>
      <c r="J358" s="38">
        <f t="shared" si="151"/>
        <v>0</v>
      </c>
      <c r="K358" s="38">
        <f t="shared" si="151"/>
        <v>0</v>
      </c>
      <c r="L358" s="38">
        <f t="shared" si="151"/>
        <v>0</v>
      </c>
      <c r="M358" s="38">
        <f t="shared" si="151"/>
        <v>0</v>
      </c>
      <c r="N358" s="38">
        <f t="shared" si="151"/>
        <v>0</v>
      </c>
      <c r="O358" s="38">
        <f t="shared" si="151"/>
        <v>0</v>
      </c>
      <c r="P358" s="38">
        <f t="shared" si="151"/>
        <v>0</v>
      </c>
      <c r="Q358" s="39"/>
      <c r="R358" s="68"/>
    </row>
    <row r="359" spans="1:18" ht="20.25" customHeight="1">
      <c r="A359" s="63"/>
      <c r="B359" s="74"/>
      <c r="C359" s="74"/>
      <c r="D359" s="74"/>
      <c r="E359" s="44"/>
      <c r="F359" s="72">
        <v>2020</v>
      </c>
      <c r="G359" s="38">
        <f t="shared" si="148"/>
        <v>248951.7</v>
      </c>
      <c r="H359" s="38">
        <f t="shared" si="149"/>
        <v>0</v>
      </c>
      <c r="I359" s="38">
        <f t="shared" si="151"/>
        <v>248951.7</v>
      </c>
      <c r="J359" s="38">
        <f t="shared" si="151"/>
        <v>0</v>
      </c>
      <c r="K359" s="38">
        <f t="shared" si="151"/>
        <v>0</v>
      </c>
      <c r="L359" s="38">
        <f t="shared" si="151"/>
        <v>0</v>
      </c>
      <c r="M359" s="38">
        <f t="shared" si="151"/>
        <v>0</v>
      </c>
      <c r="N359" s="38">
        <f t="shared" si="151"/>
        <v>0</v>
      </c>
      <c r="O359" s="38">
        <f t="shared" si="151"/>
        <v>0</v>
      </c>
      <c r="P359" s="38">
        <f t="shared" si="151"/>
        <v>0</v>
      </c>
      <c r="Q359" s="39"/>
      <c r="R359" s="68"/>
    </row>
    <row r="360" spans="1:18" ht="18" customHeight="1">
      <c r="A360" s="63"/>
      <c r="B360" s="74" t="s">
        <v>123</v>
      </c>
      <c r="C360" s="74"/>
      <c r="D360" s="74"/>
      <c r="E360" s="44"/>
      <c r="F360" s="67" t="s">
        <v>98</v>
      </c>
      <c r="G360" s="40">
        <f>SUM(G361:G366)</f>
        <v>4963710</v>
      </c>
      <c r="H360" s="40">
        <f t="shared" si="149"/>
        <v>490435.7</v>
      </c>
      <c r="I360" s="40">
        <f>SUM(I361:I366)</f>
        <v>977014.4</v>
      </c>
      <c r="J360" s="40">
        <f aca="true" t="shared" si="152" ref="J360:P360">SUM(J361:J366)</f>
        <v>360435.7</v>
      </c>
      <c r="K360" s="40">
        <f t="shared" si="152"/>
        <v>1896553.5</v>
      </c>
      <c r="L360" s="40">
        <f t="shared" si="152"/>
        <v>100000</v>
      </c>
      <c r="M360" s="40">
        <f t="shared" si="152"/>
        <v>2090142.0999999999</v>
      </c>
      <c r="N360" s="40">
        <f t="shared" si="152"/>
        <v>30000</v>
      </c>
      <c r="O360" s="40">
        <f t="shared" si="152"/>
        <v>0</v>
      </c>
      <c r="P360" s="40">
        <f t="shared" si="152"/>
        <v>0</v>
      </c>
      <c r="Q360" s="39"/>
      <c r="R360" s="68"/>
    </row>
    <row r="361" spans="1:18" ht="21.75" customHeight="1">
      <c r="A361" s="63"/>
      <c r="B361" s="74"/>
      <c r="C361" s="74"/>
      <c r="D361" s="74"/>
      <c r="E361" s="44"/>
      <c r="F361" s="72">
        <v>2015</v>
      </c>
      <c r="G361" s="38">
        <f t="shared" si="148"/>
        <v>109027.20000000001</v>
      </c>
      <c r="H361" s="38">
        <f t="shared" si="149"/>
        <v>109027.20000000001</v>
      </c>
      <c r="I361" s="38">
        <f aca="true" t="shared" si="153" ref="I361:P366">I340+I123</f>
        <v>109027.20000000001</v>
      </c>
      <c r="J361" s="38">
        <f t="shared" si="153"/>
        <v>109027.20000000001</v>
      </c>
      <c r="K361" s="38">
        <f t="shared" si="153"/>
        <v>0</v>
      </c>
      <c r="L361" s="38">
        <f t="shared" si="153"/>
        <v>0</v>
      </c>
      <c r="M361" s="38">
        <f t="shared" si="153"/>
        <v>0</v>
      </c>
      <c r="N361" s="38">
        <f t="shared" si="153"/>
        <v>0</v>
      </c>
      <c r="O361" s="38">
        <f t="shared" si="153"/>
        <v>0</v>
      </c>
      <c r="P361" s="38">
        <f t="shared" si="153"/>
        <v>0</v>
      </c>
      <c r="Q361" s="39"/>
      <c r="R361" s="68"/>
    </row>
    <row r="362" spans="1:18" ht="19.5" customHeight="1">
      <c r="A362" s="63"/>
      <c r="B362" s="74"/>
      <c r="C362" s="74"/>
      <c r="D362" s="74"/>
      <c r="E362" s="44"/>
      <c r="F362" s="72">
        <v>2016</v>
      </c>
      <c r="G362" s="38">
        <f t="shared" si="148"/>
        <v>83619.70000000001</v>
      </c>
      <c r="H362" s="38">
        <f t="shared" si="149"/>
        <v>83619.70000000001</v>
      </c>
      <c r="I362" s="38">
        <f t="shared" si="153"/>
        <v>83619.70000000001</v>
      </c>
      <c r="J362" s="38">
        <f t="shared" si="153"/>
        <v>83619.70000000001</v>
      </c>
      <c r="K362" s="38">
        <f t="shared" si="153"/>
        <v>0</v>
      </c>
      <c r="L362" s="38">
        <f t="shared" si="153"/>
        <v>0</v>
      </c>
      <c r="M362" s="38">
        <f t="shared" si="153"/>
        <v>0</v>
      </c>
      <c r="N362" s="38">
        <f t="shared" si="153"/>
        <v>0</v>
      </c>
      <c r="O362" s="38">
        <f t="shared" si="153"/>
        <v>0</v>
      </c>
      <c r="P362" s="38">
        <f t="shared" si="153"/>
        <v>0</v>
      </c>
      <c r="Q362" s="39"/>
      <c r="R362" s="68"/>
    </row>
    <row r="363" spans="1:18" ht="18.75" customHeight="1">
      <c r="A363" s="63"/>
      <c r="B363" s="74"/>
      <c r="C363" s="74"/>
      <c r="D363" s="74"/>
      <c r="E363" s="44"/>
      <c r="F363" s="72">
        <v>2017</v>
      </c>
      <c r="G363" s="38">
        <f>I363+K363+M363+O363</f>
        <v>378759.3</v>
      </c>
      <c r="H363" s="38">
        <f t="shared" si="149"/>
        <v>297788.8</v>
      </c>
      <c r="I363" s="38">
        <f t="shared" si="153"/>
        <v>167788.8</v>
      </c>
      <c r="J363" s="38">
        <f>J342+J125</f>
        <v>167788.8</v>
      </c>
      <c r="K363" s="38">
        <f t="shared" si="153"/>
        <v>100000</v>
      </c>
      <c r="L363" s="38">
        <f t="shared" si="153"/>
        <v>100000</v>
      </c>
      <c r="M363" s="38">
        <f t="shared" si="153"/>
        <v>110970.5</v>
      </c>
      <c r="N363" s="38">
        <f t="shared" si="153"/>
        <v>30000</v>
      </c>
      <c r="O363" s="38">
        <f t="shared" si="153"/>
        <v>0</v>
      </c>
      <c r="P363" s="38">
        <f t="shared" si="153"/>
        <v>0</v>
      </c>
      <c r="Q363" s="39"/>
      <c r="R363" s="68"/>
    </row>
    <row r="364" spans="1:18" ht="17.25" customHeight="1">
      <c r="A364" s="63"/>
      <c r="B364" s="74"/>
      <c r="C364" s="74"/>
      <c r="D364" s="74"/>
      <c r="E364" s="44"/>
      <c r="F364" s="72">
        <v>2018</v>
      </c>
      <c r="G364" s="38">
        <f t="shared" si="148"/>
        <v>3352587.3</v>
      </c>
      <c r="H364" s="38">
        <f t="shared" si="149"/>
        <v>0</v>
      </c>
      <c r="I364" s="38">
        <f t="shared" si="153"/>
        <v>505806.60000000003</v>
      </c>
      <c r="J364" s="38">
        <f t="shared" si="153"/>
        <v>0</v>
      </c>
      <c r="K364" s="38">
        <f t="shared" si="153"/>
        <v>1796553.5</v>
      </c>
      <c r="L364" s="38">
        <f t="shared" si="153"/>
        <v>0</v>
      </c>
      <c r="M364" s="38">
        <f t="shared" si="153"/>
        <v>1050227.2</v>
      </c>
      <c r="N364" s="38">
        <f t="shared" si="153"/>
        <v>0</v>
      </c>
      <c r="O364" s="38">
        <f t="shared" si="153"/>
        <v>0</v>
      </c>
      <c r="P364" s="38">
        <f t="shared" si="153"/>
        <v>0</v>
      </c>
      <c r="Q364" s="39"/>
      <c r="R364" s="68"/>
    </row>
    <row r="365" spans="1:18" ht="19.5" customHeight="1">
      <c r="A365" s="63"/>
      <c r="B365" s="74"/>
      <c r="C365" s="74"/>
      <c r="D365" s="74"/>
      <c r="E365" s="44"/>
      <c r="F365" s="72">
        <v>2019</v>
      </c>
      <c r="G365" s="38">
        <f t="shared" si="148"/>
        <v>612744.3</v>
      </c>
      <c r="H365" s="38">
        <f t="shared" si="149"/>
        <v>0</v>
      </c>
      <c r="I365" s="38">
        <f t="shared" si="153"/>
        <v>110772.1</v>
      </c>
      <c r="J365" s="38">
        <f t="shared" si="153"/>
        <v>0</v>
      </c>
      <c r="K365" s="38">
        <f t="shared" si="153"/>
        <v>0</v>
      </c>
      <c r="L365" s="38">
        <f t="shared" si="153"/>
        <v>0</v>
      </c>
      <c r="M365" s="38">
        <f t="shared" si="153"/>
        <v>501972.2</v>
      </c>
      <c r="N365" s="38">
        <f t="shared" si="153"/>
        <v>0</v>
      </c>
      <c r="O365" s="38">
        <f t="shared" si="153"/>
        <v>0</v>
      </c>
      <c r="P365" s="38">
        <f t="shared" si="153"/>
        <v>0</v>
      </c>
      <c r="Q365" s="39"/>
      <c r="R365" s="68"/>
    </row>
    <row r="366" spans="1:18" ht="18" customHeight="1">
      <c r="A366" s="63"/>
      <c r="B366" s="74"/>
      <c r="C366" s="74"/>
      <c r="D366" s="74"/>
      <c r="E366" s="44"/>
      <c r="F366" s="72">
        <v>2020</v>
      </c>
      <c r="G366" s="38">
        <f t="shared" si="148"/>
        <v>426972.2</v>
      </c>
      <c r="H366" s="38">
        <f t="shared" si="149"/>
        <v>0</v>
      </c>
      <c r="I366" s="38">
        <f t="shared" si="153"/>
        <v>0</v>
      </c>
      <c r="J366" s="38">
        <f t="shared" si="153"/>
        <v>0</v>
      </c>
      <c r="K366" s="38">
        <f t="shared" si="153"/>
        <v>0</v>
      </c>
      <c r="L366" s="38">
        <f t="shared" si="153"/>
        <v>0</v>
      </c>
      <c r="M366" s="38">
        <f t="shared" si="153"/>
        <v>426972.2</v>
      </c>
      <c r="N366" s="38">
        <f t="shared" si="153"/>
        <v>0</v>
      </c>
      <c r="O366" s="38">
        <f t="shared" si="153"/>
        <v>0</v>
      </c>
      <c r="P366" s="38">
        <f t="shared" si="153"/>
        <v>0</v>
      </c>
      <c r="Q366" s="39"/>
      <c r="R366" s="68"/>
    </row>
    <row r="367" spans="1:18" ht="18" customHeight="1">
      <c r="A367" s="63"/>
      <c r="B367" s="74" t="s">
        <v>380</v>
      </c>
      <c r="C367" s="74"/>
      <c r="D367" s="74"/>
      <c r="E367" s="44"/>
      <c r="F367" s="67" t="s">
        <v>98</v>
      </c>
      <c r="G367" s="40">
        <f>SUM(G368:G373)</f>
        <v>10000</v>
      </c>
      <c r="H367" s="40">
        <f t="shared" si="149"/>
        <v>10000</v>
      </c>
      <c r="I367" s="40">
        <f>SUM(I368:I373)</f>
        <v>10000</v>
      </c>
      <c r="J367" s="40">
        <f aca="true" t="shared" si="154" ref="J367:P367">SUM(J368:J373)</f>
        <v>10000</v>
      </c>
      <c r="K367" s="40">
        <f t="shared" si="154"/>
        <v>0</v>
      </c>
      <c r="L367" s="40">
        <f t="shared" si="154"/>
        <v>0</v>
      </c>
      <c r="M367" s="40">
        <f t="shared" si="154"/>
        <v>0</v>
      </c>
      <c r="N367" s="40">
        <f t="shared" si="154"/>
        <v>0</v>
      </c>
      <c r="O367" s="40">
        <f t="shared" si="154"/>
        <v>0</v>
      </c>
      <c r="P367" s="40">
        <f t="shared" si="154"/>
        <v>0</v>
      </c>
      <c r="Q367" s="39"/>
      <c r="R367" s="68"/>
    </row>
    <row r="368" spans="1:18" ht="21.75" customHeight="1">
      <c r="A368" s="63"/>
      <c r="B368" s="74"/>
      <c r="C368" s="74"/>
      <c r="D368" s="74"/>
      <c r="E368" s="44"/>
      <c r="F368" s="72">
        <v>2015</v>
      </c>
      <c r="G368" s="38">
        <f aca="true" t="shared" si="155" ref="G368:G373">I368+K368+M368+O368</f>
        <v>0</v>
      </c>
      <c r="H368" s="38">
        <f t="shared" si="149"/>
        <v>0</v>
      </c>
      <c r="I368" s="38">
        <v>0</v>
      </c>
      <c r="J368" s="38">
        <v>0</v>
      </c>
      <c r="K368" s="38">
        <f>K347+K130</f>
        <v>0</v>
      </c>
      <c r="L368" s="38">
        <f>L347+L130</f>
        <v>0</v>
      </c>
      <c r="M368" s="38">
        <v>0</v>
      </c>
      <c r="N368" s="38">
        <v>0</v>
      </c>
      <c r="O368" s="38">
        <f>O347+O130</f>
        <v>0</v>
      </c>
      <c r="P368" s="38">
        <f>P347+P130</f>
        <v>0</v>
      </c>
      <c r="Q368" s="39"/>
      <c r="R368" s="68"/>
    </row>
    <row r="369" spans="1:18" ht="19.5" customHeight="1">
      <c r="A369" s="63"/>
      <c r="B369" s="74"/>
      <c r="C369" s="74"/>
      <c r="D369" s="74"/>
      <c r="E369" s="44"/>
      <c r="F369" s="72">
        <v>2016</v>
      </c>
      <c r="G369" s="38">
        <f t="shared" si="155"/>
        <v>0</v>
      </c>
      <c r="H369" s="38">
        <f t="shared" si="149"/>
        <v>0</v>
      </c>
      <c r="I369" s="38">
        <v>0</v>
      </c>
      <c r="J369" s="38">
        <v>0</v>
      </c>
      <c r="K369" s="38">
        <f>K348+K131</f>
        <v>0</v>
      </c>
      <c r="L369" s="38">
        <f>L348+L131</f>
        <v>0</v>
      </c>
      <c r="M369" s="38">
        <v>0</v>
      </c>
      <c r="N369" s="38">
        <v>0</v>
      </c>
      <c r="O369" s="38">
        <f>O348+O131</f>
        <v>0</v>
      </c>
      <c r="P369" s="38">
        <f>P348+P131</f>
        <v>0</v>
      </c>
      <c r="Q369" s="39"/>
      <c r="R369" s="68"/>
    </row>
    <row r="370" spans="1:18" ht="18.75" customHeight="1">
      <c r="A370" s="63"/>
      <c r="B370" s="74"/>
      <c r="C370" s="74"/>
      <c r="D370" s="74"/>
      <c r="E370" s="44"/>
      <c r="F370" s="72">
        <v>2017</v>
      </c>
      <c r="G370" s="38">
        <f t="shared" si="155"/>
        <v>10000</v>
      </c>
      <c r="H370" s="38">
        <f t="shared" si="149"/>
        <v>10000</v>
      </c>
      <c r="I370" s="38">
        <f aca="true" t="shared" si="156" ref="I370:P370">I132</f>
        <v>10000</v>
      </c>
      <c r="J370" s="38">
        <f t="shared" si="156"/>
        <v>10000</v>
      </c>
      <c r="K370" s="38">
        <f t="shared" si="156"/>
        <v>0</v>
      </c>
      <c r="L370" s="38">
        <f t="shared" si="156"/>
        <v>0</v>
      </c>
      <c r="M370" s="38">
        <f t="shared" si="156"/>
        <v>0</v>
      </c>
      <c r="N370" s="38">
        <f t="shared" si="156"/>
        <v>0</v>
      </c>
      <c r="O370" s="38">
        <f t="shared" si="156"/>
        <v>0</v>
      </c>
      <c r="P370" s="38">
        <f t="shared" si="156"/>
        <v>0</v>
      </c>
      <c r="Q370" s="39"/>
      <c r="R370" s="68"/>
    </row>
    <row r="371" spans="1:18" ht="17.25" customHeight="1">
      <c r="A371" s="63"/>
      <c r="B371" s="74"/>
      <c r="C371" s="74"/>
      <c r="D371" s="74"/>
      <c r="E371" s="44"/>
      <c r="F371" s="72">
        <v>2018</v>
      </c>
      <c r="G371" s="38">
        <f t="shared" si="155"/>
        <v>0</v>
      </c>
      <c r="H371" s="38">
        <f t="shared" si="149"/>
        <v>0</v>
      </c>
      <c r="I371" s="38">
        <v>0</v>
      </c>
      <c r="J371" s="38">
        <f>J350+J133</f>
        <v>0</v>
      </c>
      <c r="K371" s="38">
        <v>0</v>
      </c>
      <c r="L371" s="38">
        <f>L350+L133</f>
        <v>0</v>
      </c>
      <c r="M371" s="38">
        <v>0</v>
      </c>
      <c r="N371" s="38">
        <f aca="true" t="shared" si="157" ref="N371:P373">N350+N133</f>
        <v>0</v>
      </c>
      <c r="O371" s="38">
        <f t="shared" si="157"/>
        <v>0</v>
      </c>
      <c r="P371" s="38">
        <f t="shared" si="157"/>
        <v>0</v>
      </c>
      <c r="Q371" s="39"/>
      <c r="R371" s="68"/>
    </row>
    <row r="372" spans="1:18" ht="19.5" customHeight="1">
      <c r="A372" s="63"/>
      <c r="B372" s="74"/>
      <c r="C372" s="74"/>
      <c r="D372" s="74"/>
      <c r="E372" s="44"/>
      <c r="F372" s="72">
        <v>2019</v>
      </c>
      <c r="G372" s="38">
        <f t="shared" si="155"/>
        <v>0</v>
      </c>
      <c r="H372" s="38">
        <f t="shared" si="149"/>
        <v>0</v>
      </c>
      <c r="I372" s="38">
        <v>0</v>
      </c>
      <c r="J372" s="38">
        <f>J351+J134</f>
        <v>0</v>
      </c>
      <c r="K372" s="38">
        <v>0</v>
      </c>
      <c r="L372" s="38">
        <f>L351+L134</f>
        <v>0</v>
      </c>
      <c r="M372" s="38">
        <v>0</v>
      </c>
      <c r="N372" s="38">
        <f t="shared" si="157"/>
        <v>0</v>
      </c>
      <c r="O372" s="38">
        <f t="shared" si="157"/>
        <v>0</v>
      </c>
      <c r="P372" s="38">
        <f t="shared" si="157"/>
        <v>0</v>
      </c>
      <c r="Q372" s="39"/>
      <c r="R372" s="68"/>
    </row>
    <row r="373" spans="1:18" ht="18" customHeight="1">
      <c r="A373" s="63"/>
      <c r="B373" s="74"/>
      <c r="C373" s="74"/>
      <c r="D373" s="74"/>
      <c r="E373" s="44"/>
      <c r="F373" s="72">
        <v>2020</v>
      </c>
      <c r="G373" s="38">
        <f t="shared" si="155"/>
        <v>0</v>
      </c>
      <c r="H373" s="38">
        <f t="shared" si="149"/>
        <v>0</v>
      </c>
      <c r="I373" s="38">
        <v>0</v>
      </c>
      <c r="J373" s="38">
        <f>J352+J135</f>
        <v>0</v>
      </c>
      <c r="K373" s="38">
        <f>K352+K135</f>
        <v>0</v>
      </c>
      <c r="L373" s="38">
        <f>L352+L135</f>
        <v>0</v>
      </c>
      <c r="M373" s="38">
        <v>0</v>
      </c>
      <c r="N373" s="38">
        <f t="shared" si="157"/>
        <v>0</v>
      </c>
      <c r="O373" s="38">
        <f t="shared" si="157"/>
        <v>0</v>
      </c>
      <c r="P373" s="38">
        <f t="shared" si="157"/>
        <v>0</v>
      </c>
      <c r="Q373" s="39"/>
      <c r="R373" s="109"/>
    </row>
    <row r="374" spans="1:17" ht="15">
      <c r="A374" s="21"/>
      <c r="B374" s="17"/>
      <c r="C374" s="17"/>
      <c r="D374" s="17"/>
      <c r="E374" s="17"/>
      <c r="F374" s="17"/>
      <c r="G374" s="57"/>
      <c r="H374" s="57"/>
      <c r="I374" s="58"/>
      <c r="J374" s="58"/>
      <c r="K374" s="58"/>
      <c r="L374" s="58"/>
      <c r="M374" s="58"/>
      <c r="N374" s="58"/>
      <c r="O374" s="58"/>
      <c r="P374" s="58"/>
      <c r="Q374" s="58"/>
    </row>
    <row r="375" spans="1:17" ht="15">
      <c r="A375" s="22"/>
      <c r="G375" s="59"/>
      <c r="H375" s="59"/>
      <c r="I375" s="60"/>
      <c r="J375" s="60"/>
      <c r="K375" s="59"/>
      <c r="L375" s="59"/>
      <c r="M375" s="59"/>
      <c r="N375" s="59"/>
      <c r="O375" s="59"/>
      <c r="P375" s="59"/>
      <c r="Q375" s="59"/>
    </row>
    <row r="376" spans="1:17" ht="15">
      <c r="A376" s="22"/>
      <c r="G376" s="59"/>
      <c r="H376" s="59"/>
      <c r="I376" s="60"/>
      <c r="J376" s="60"/>
      <c r="K376" s="59"/>
      <c r="L376" s="59"/>
      <c r="M376" s="59"/>
      <c r="N376" s="59"/>
      <c r="O376" s="59"/>
      <c r="P376" s="59"/>
      <c r="Q376" s="59"/>
    </row>
    <row r="377" spans="1:17" ht="15">
      <c r="A377" s="22"/>
      <c r="G377" s="59"/>
      <c r="H377" s="59"/>
      <c r="I377" s="60"/>
      <c r="J377" s="60"/>
      <c r="K377" s="59"/>
      <c r="L377" s="59"/>
      <c r="M377" s="59"/>
      <c r="N377" s="59"/>
      <c r="O377" s="59"/>
      <c r="P377" s="59"/>
      <c r="Q377" s="59"/>
    </row>
    <row r="378" spans="1:17" ht="15">
      <c r="A378" s="22"/>
      <c r="D378" s="19"/>
      <c r="E378" s="19"/>
      <c r="G378" s="59"/>
      <c r="H378" s="59"/>
      <c r="I378" s="60"/>
      <c r="J378" s="60"/>
      <c r="K378" s="59"/>
      <c r="L378" s="59"/>
      <c r="M378" s="59"/>
      <c r="N378" s="59"/>
      <c r="O378" s="59"/>
      <c r="P378" s="59"/>
      <c r="Q378" s="59"/>
    </row>
    <row r="379" spans="1:17" ht="15">
      <c r="A379" s="22"/>
      <c r="G379" s="59"/>
      <c r="H379" s="59"/>
      <c r="I379" s="60"/>
      <c r="J379" s="60"/>
      <c r="K379" s="59"/>
      <c r="L379" s="59"/>
      <c r="M379" s="59"/>
      <c r="N379" s="59"/>
      <c r="O379" s="59"/>
      <c r="P379" s="59"/>
      <c r="Q379" s="59"/>
    </row>
    <row r="380" spans="1:17" ht="15">
      <c r="A380" s="22"/>
      <c r="G380" s="59"/>
      <c r="H380" s="59"/>
      <c r="I380" s="60"/>
      <c r="J380" s="60"/>
      <c r="K380" s="59"/>
      <c r="L380" s="59"/>
      <c r="M380" s="59"/>
      <c r="N380" s="59"/>
      <c r="O380" s="59"/>
      <c r="P380" s="59"/>
      <c r="Q380" s="59"/>
    </row>
    <row r="381" spans="1:17" ht="15">
      <c r="A381" s="22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</row>
    <row r="382" spans="1:17" ht="15">
      <c r="A382" s="22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</row>
    <row r="383" spans="1:17" ht="15">
      <c r="A383" s="22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</row>
    <row r="384" spans="1:17" ht="15">
      <c r="A384" s="22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</row>
    <row r="385" spans="1:17" ht="15">
      <c r="A385" s="22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</row>
    <row r="386" spans="1:17" ht="15">
      <c r="A386" s="22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</row>
    <row r="387" spans="1:17" ht="15">
      <c r="A387" s="22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</row>
    <row r="388" spans="1:17" ht="15">
      <c r="A388" s="22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</row>
    <row r="389" spans="1:17" ht="15">
      <c r="A389" s="22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</row>
    <row r="390" spans="1:17" ht="15">
      <c r="A390" s="22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</row>
    <row r="391" spans="1:17" ht="15">
      <c r="A391" s="22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</row>
    <row r="392" spans="1:17" ht="15">
      <c r="A392" s="22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</row>
    <row r="393" spans="1:17" ht="15">
      <c r="A393" s="22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</row>
    <row r="394" spans="1:17" ht="15">
      <c r="A394" s="22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</row>
    <row r="395" spans="1:17" ht="15">
      <c r="A395" s="22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</row>
    <row r="396" spans="1:17" ht="15">
      <c r="A396" s="22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</row>
    <row r="397" ht="15">
      <c r="A397" s="22"/>
    </row>
    <row r="398" ht="15">
      <c r="A398" s="22"/>
    </row>
    <row r="399" ht="15">
      <c r="A399" s="22"/>
    </row>
    <row r="400" ht="15">
      <c r="A400" s="22"/>
    </row>
    <row r="401" ht="15">
      <c r="A401" s="22"/>
    </row>
    <row r="402" ht="15">
      <c r="A402" s="22"/>
    </row>
    <row r="403" ht="15">
      <c r="A403" s="22"/>
    </row>
    <row r="404" ht="15">
      <c r="A404" s="22"/>
    </row>
    <row r="405" ht="15">
      <c r="A405" s="22"/>
    </row>
    <row r="406" ht="15">
      <c r="A406" s="22"/>
    </row>
    <row r="407" ht="15">
      <c r="A407" s="22"/>
    </row>
    <row r="408" ht="15">
      <c r="A408" s="22"/>
    </row>
    <row r="409" ht="15">
      <c r="A409" s="22"/>
    </row>
    <row r="410" ht="15">
      <c r="A410" s="22"/>
    </row>
    <row r="411" ht="15">
      <c r="A411" s="22"/>
    </row>
    <row r="412" ht="15">
      <c r="A412" s="22"/>
    </row>
    <row r="413" ht="15">
      <c r="A413" s="22"/>
    </row>
    <row r="414" ht="15">
      <c r="A414" s="22"/>
    </row>
    <row r="415" ht="15">
      <c r="A415" s="22"/>
    </row>
    <row r="416" ht="15">
      <c r="A416" s="22"/>
    </row>
    <row r="417" ht="15">
      <c r="A417" s="22"/>
    </row>
    <row r="418" ht="15">
      <c r="A418" s="22"/>
    </row>
    <row r="419" ht="15">
      <c r="A419" s="22"/>
    </row>
    <row r="420" ht="15">
      <c r="A420" s="22"/>
    </row>
    <row r="421" ht="15">
      <c r="A421" s="22"/>
    </row>
    <row r="422" ht="15">
      <c r="A422" s="22"/>
    </row>
    <row r="423" ht="15">
      <c r="A423" s="22"/>
    </row>
    <row r="424" ht="15">
      <c r="A424" s="22"/>
    </row>
    <row r="425" ht="15">
      <c r="A425" s="22"/>
    </row>
    <row r="426" ht="15">
      <c r="A426" s="22"/>
    </row>
    <row r="427" ht="15">
      <c r="A427" s="22"/>
    </row>
    <row r="428" ht="15">
      <c r="A428" s="22"/>
    </row>
    <row r="429" ht="15">
      <c r="A429" s="22"/>
    </row>
    <row r="430" ht="15">
      <c r="A430" s="22"/>
    </row>
    <row r="431" ht="15">
      <c r="A431" s="22"/>
    </row>
    <row r="432" ht="15">
      <c r="A432" s="22"/>
    </row>
    <row r="433" ht="15">
      <c r="A433" s="22"/>
    </row>
    <row r="434" ht="15">
      <c r="A434" s="22"/>
    </row>
    <row r="435" ht="15">
      <c r="A435" s="22"/>
    </row>
    <row r="436" ht="15">
      <c r="A436" s="22"/>
    </row>
    <row r="437" ht="15">
      <c r="A437" s="22"/>
    </row>
    <row r="438" ht="15">
      <c r="A438" s="22"/>
    </row>
    <row r="439" ht="15">
      <c r="A439" s="22"/>
    </row>
    <row r="440" ht="15">
      <c r="A440" s="22"/>
    </row>
    <row r="441" ht="15">
      <c r="A441" s="22"/>
    </row>
    <row r="442" ht="15">
      <c r="A442" s="22"/>
    </row>
    <row r="443" ht="15">
      <c r="A443" s="22"/>
    </row>
    <row r="444" ht="15">
      <c r="A444" s="22"/>
    </row>
    <row r="445" ht="15">
      <c r="A445" s="22"/>
    </row>
    <row r="446" ht="15">
      <c r="A446" s="22"/>
    </row>
    <row r="447" ht="15">
      <c r="A447" s="22"/>
    </row>
    <row r="448" ht="15">
      <c r="A448" s="22"/>
    </row>
    <row r="449" ht="15">
      <c r="A449" s="22"/>
    </row>
    <row r="450" ht="15">
      <c r="A450" s="22"/>
    </row>
    <row r="451" ht="15">
      <c r="A451" s="22"/>
    </row>
    <row r="452" ht="15">
      <c r="A452" s="22"/>
    </row>
    <row r="453" ht="15">
      <c r="A453" s="22"/>
    </row>
    <row r="454" ht="15">
      <c r="A454" s="22"/>
    </row>
    <row r="455" ht="15">
      <c r="A455" s="22"/>
    </row>
    <row r="456" ht="15">
      <c r="A456" s="22"/>
    </row>
    <row r="457" ht="15">
      <c r="A457" s="22"/>
    </row>
    <row r="458" ht="15">
      <c r="A458" s="22"/>
    </row>
    <row r="459" ht="15">
      <c r="A459" s="22"/>
    </row>
    <row r="460" ht="15">
      <c r="A460" s="22"/>
    </row>
  </sheetData>
  <sheetProtection/>
  <mergeCells count="194">
    <mergeCell ref="Q175:Q176"/>
    <mergeCell ref="B182:B183"/>
    <mergeCell ref="A182:A183"/>
    <mergeCell ref="B221:B222"/>
    <mergeCell ref="A205:A207"/>
    <mergeCell ref="D182:D183"/>
    <mergeCell ref="B209:B210"/>
    <mergeCell ref="C175:C176"/>
    <mergeCell ref="B217:B218"/>
    <mergeCell ref="C217:C218"/>
    <mergeCell ref="A237:A238"/>
    <mergeCell ref="B237:B238"/>
    <mergeCell ref="C237:C238"/>
    <mergeCell ref="A158:A159"/>
    <mergeCell ref="B158:B159"/>
    <mergeCell ref="C158:C159"/>
    <mergeCell ref="C179:C180"/>
    <mergeCell ref="A160:A164"/>
    <mergeCell ref="A165:A166"/>
    <mergeCell ref="C165:C166"/>
    <mergeCell ref="E11:E15"/>
    <mergeCell ref="A25:F25"/>
    <mergeCell ref="A75:A78"/>
    <mergeCell ref="C75:C78"/>
    <mergeCell ref="A11:A15"/>
    <mergeCell ref="A221:A222"/>
    <mergeCell ref="A219:A220"/>
    <mergeCell ref="A179:A180"/>
    <mergeCell ref="B198:D204"/>
    <mergeCell ref="C209:C210"/>
    <mergeCell ref="A184:A204"/>
    <mergeCell ref="A217:A218"/>
    <mergeCell ref="A325:A345"/>
    <mergeCell ref="Q248:Q249"/>
    <mergeCell ref="C248:C249"/>
    <mergeCell ref="B339:D345"/>
    <mergeCell ref="A248:A249"/>
    <mergeCell ref="B248:B249"/>
    <mergeCell ref="A317:A323"/>
    <mergeCell ref="B317:D323"/>
    <mergeCell ref="C219:C220"/>
    <mergeCell ref="B219:B220"/>
    <mergeCell ref="C221:C222"/>
    <mergeCell ref="B353:D359"/>
    <mergeCell ref="B360:D366"/>
    <mergeCell ref="B325:D331"/>
    <mergeCell ref="B332:D338"/>
    <mergeCell ref="B346:D352"/>
    <mergeCell ref="HC122:HE128"/>
    <mergeCell ref="HS122:HU128"/>
    <mergeCell ref="BO115:BQ121"/>
    <mergeCell ref="GL108:GL128"/>
    <mergeCell ref="FW122:FY128"/>
    <mergeCell ref="FV108:FV128"/>
    <mergeCell ref="EQ122:ES128"/>
    <mergeCell ref="GM115:GO121"/>
    <mergeCell ref="FG115:FI121"/>
    <mergeCell ref="HS108:HU114"/>
    <mergeCell ref="HC115:HE121"/>
    <mergeCell ref="HS115:HU121"/>
    <mergeCell ref="IH108:IH128"/>
    <mergeCell ref="II115:IK121"/>
    <mergeCell ref="GM108:GO114"/>
    <mergeCell ref="FG122:FI128"/>
    <mergeCell ref="HB108:HB128"/>
    <mergeCell ref="GM122:GO128"/>
    <mergeCell ref="II122:IK128"/>
    <mergeCell ref="HC108:HE114"/>
    <mergeCell ref="HR108:HR128"/>
    <mergeCell ref="II108:IK114"/>
    <mergeCell ref="BN108:BN128"/>
    <mergeCell ref="B11:B15"/>
    <mergeCell ref="C11:C15"/>
    <mergeCell ref="O13:P14"/>
    <mergeCell ref="D11:D15"/>
    <mergeCell ref="A17:F17"/>
    <mergeCell ref="AH108:AH128"/>
    <mergeCell ref="B33:D39"/>
    <mergeCell ref="I13:J14"/>
    <mergeCell ref="G11:H14"/>
    <mergeCell ref="CE108:CG114"/>
    <mergeCell ref="EA122:EC128"/>
    <mergeCell ref="BO122:BQ128"/>
    <mergeCell ref="CE122:CG128"/>
    <mergeCell ref="EA115:EC121"/>
    <mergeCell ref="CU108:CW114"/>
    <mergeCell ref="CT108:CT128"/>
    <mergeCell ref="BO108:BQ114"/>
    <mergeCell ref="DK115:DM121"/>
    <mergeCell ref="DK122:DM128"/>
    <mergeCell ref="AY108:BA114"/>
    <mergeCell ref="F11:F15"/>
    <mergeCell ref="M13:N14"/>
    <mergeCell ref="K13:L14"/>
    <mergeCell ref="I11:P12"/>
    <mergeCell ref="AX108:AX128"/>
    <mergeCell ref="AY115:BA121"/>
    <mergeCell ref="S108:U114"/>
    <mergeCell ref="S115:U121"/>
    <mergeCell ref="AI115:AK121"/>
    <mergeCell ref="AI108:AK114"/>
    <mergeCell ref="CD108:CD128"/>
    <mergeCell ref="FG108:FI114"/>
    <mergeCell ref="FW108:FY114"/>
    <mergeCell ref="CE115:CG121"/>
    <mergeCell ref="FF108:FF128"/>
    <mergeCell ref="DK108:DM114"/>
    <mergeCell ref="EP108:EP128"/>
    <mergeCell ref="EQ108:ES114"/>
    <mergeCell ref="EA108:EC114"/>
    <mergeCell ref="EQ115:ES121"/>
    <mergeCell ref="FW115:FY121"/>
    <mergeCell ref="DJ108:DJ128"/>
    <mergeCell ref="CU122:CW128"/>
    <mergeCell ref="CU115:CW121"/>
    <mergeCell ref="DZ108:DZ128"/>
    <mergeCell ref="A56:A59"/>
    <mergeCell ref="B56:B59"/>
    <mergeCell ref="C56:C59"/>
    <mergeCell ref="C71:C72"/>
    <mergeCell ref="A67:A68"/>
    <mergeCell ref="B67:B68"/>
    <mergeCell ref="B71:B72"/>
    <mergeCell ref="C49:C51"/>
    <mergeCell ref="B129:D135"/>
    <mergeCell ref="B122:D128"/>
    <mergeCell ref="B115:D121"/>
    <mergeCell ref="B184:D190"/>
    <mergeCell ref="C91:C93"/>
    <mergeCell ref="C205:C207"/>
    <mergeCell ref="C182:C183"/>
    <mergeCell ref="B177:B178"/>
    <mergeCell ref="B191:D197"/>
    <mergeCell ref="B205:B207"/>
    <mergeCell ref="B144:D150"/>
    <mergeCell ref="B137:D143"/>
    <mergeCell ref="D158:D159"/>
    <mergeCell ref="AY122:BA128"/>
    <mergeCell ref="Q49:Q50"/>
    <mergeCell ref="Q76:Q77"/>
    <mergeCell ref="B79:B80"/>
    <mergeCell ref="C67:C68"/>
    <mergeCell ref="C79:C80"/>
    <mergeCell ref="B91:B93"/>
    <mergeCell ref="S122:U128"/>
    <mergeCell ref="AI122:AK128"/>
    <mergeCell ref="B108:D114"/>
    <mergeCell ref="A209:A210"/>
    <mergeCell ref="B165:B166"/>
    <mergeCell ref="B151:D157"/>
    <mergeCell ref="A175:A176"/>
    <mergeCell ref="C177:C178"/>
    <mergeCell ref="B173:B174"/>
    <mergeCell ref="C173:C174"/>
    <mergeCell ref="C160:C164"/>
    <mergeCell ref="A177:A178"/>
    <mergeCell ref="B175:B176"/>
    <mergeCell ref="A18:A24"/>
    <mergeCell ref="B18:D24"/>
    <mergeCell ref="A52:A55"/>
    <mergeCell ref="B53:B55"/>
    <mergeCell ref="C52:C55"/>
    <mergeCell ref="A47:A48"/>
    <mergeCell ref="B47:B48"/>
    <mergeCell ref="C47:C48"/>
    <mergeCell ref="B40:D46"/>
    <mergeCell ref="A136:F136"/>
    <mergeCell ref="B160:B164"/>
    <mergeCell ref="B75:B78"/>
    <mergeCell ref="A79:A80"/>
    <mergeCell ref="A100:A106"/>
    <mergeCell ref="B100:D106"/>
    <mergeCell ref="A108:A135"/>
    <mergeCell ref="A91:A93"/>
    <mergeCell ref="P2:R2"/>
    <mergeCell ref="Q11:Q15"/>
    <mergeCell ref="R11:R15"/>
    <mergeCell ref="R17:R373"/>
    <mergeCell ref="Q162:Q163"/>
    <mergeCell ref="Q205:Q207"/>
    <mergeCell ref="Q79:Q80"/>
    <mergeCell ref="Q91:Q93"/>
    <mergeCell ref="Q221:Q222"/>
    <mergeCell ref="Q182:Q183"/>
    <mergeCell ref="A346:A373"/>
    <mergeCell ref="A173:A174"/>
    <mergeCell ref="B179:B180"/>
    <mergeCell ref="B26:D32"/>
    <mergeCell ref="A26:A46"/>
    <mergeCell ref="A71:A72"/>
    <mergeCell ref="A49:A51"/>
    <mergeCell ref="B49:B51"/>
    <mergeCell ref="B367:D373"/>
    <mergeCell ref="A137:A157"/>
  </mergeCells>
  <printOptions/>
  <pageMargins left="0.3937007874015748" right="0.2755905511811024" top="0.2362204724409449" bottom="0.31496062992125984" header="0.2362204724409449" footer="0.2755905511811024"/>
  <pageSetup fitToHeight="25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Шавкунова</cp:lastModifiedBy>
  <cp:lastPrinted>2017-04-12T03:49:10Z</cp:lastPrinted>
  <dcterms:created xsi:type="dcterms:W3CDTF">2012-12-12T08:42:07Z</dcterms:created>
  <dcterms:modified xsi:type="dcterms:W3CDTF">2017-07-25T05:22:08Z</dcterms:modified>
  <cp:category/>
  <cp:version/>
  <cp:contentType/>
  <cp:contentStatus/>
</cp:coreProperties>
</file>