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definedNames>
    <definedName name="_xlnm.Print_Titles" localSheetId="0">Лист1!$13:$15</definedName>
  </definedNames>
  <calcPr calcId="114210" fullCalcOnLoad="1"/>
</workbook>
</file>

<file path=xl/calcChain.xml><?xml version="1.0" encoding="utf-8"?>
<calcChain xmlns="http://schemas.openxmlformats.org/spreadsheetml/2006/main">
  <c r="H177" i="1"/>
  <c r="R24"/>
  <c r="Q24"/>
  <c r="H44"/>
  <c r="H114"/>
  <c r="G114"/>
  <c r="G177"/>
  <c r="L114"/>
  <c r="M114"/>
  <c r="H261"/>
  <c r="G262"/>
  <c r="G254"/>
  <c r="G185"/>
  <c r="L86"/>
  <c r="K86"/>
  <c r="H271"/>
  <c r="I271"/>
  <c r="J271"/>
  <c r="L271"/>
  <c r="M271"/>
  <c r="N271"/>
  <c r="H264"/>
  <c r="I264"/>
  <c r="J264"/>
  <c r="L264"/>
  <c r="M264"/>
  <c r="N264"/>
  <c r="H257"/>
  <c r="I257"/>
  <c r="J257"/>
  <c r="L257"/>
  <c r="M257"/>
  <c r="N257"/>
  <c r="I250"/>
  <c r="J250"/>
  <c r="L250"/>
  <c r="M250"/>
  <c r="N250"/>
  <c r="I243"/>
  <c r="J243"/>
  <c r="L243"/>
  <c r="M243"/>
  <c r="I180"/>
  <c r="J180"/>
  <c r="K180"/>
  <c r="L180"/>
  <c r="N180"/>
  <c r="J173"/>
  <c r="I159"/>
  <c r="J159"/>
  <c r="K159"/>
  <c r="L159"/>
  <c r="M159"/>
  <c r="H124"/>
  <c r="I124"/>
  <c r="J124"/>
  <c r="K124"/>
  <c r="L124"/>
  <c r="H117"/>
  <c r="I117"/>
  <c r="J117"/>
  <c r="K117"/>
  <c r="L117"/>
  <c r="M117"/>
  <c r="G111"/>
  <c r="K111"/>
  <c r="N111"/>
  <c r="F111"/>
  <c r="G96"/>
  <c r="H96"/>
  <c r="I96"/>
  <c r="J96"/>
  <c r="K96"/>
  <c r="L96"/>
  <c r="M96"/>
  <c r="N96"/>
  <c r="I82"/>
  <c r="J82"/>
  <c r="H68"/>
  <c r="I68"/>
  <c r="J68"/>
  <c r="K68"/>
  <c r="L68"/>
  <c r="M68"/>
  <c r="N68"/>
  <c r="I61"/>
  <c r="J61"/>
  <c r="K61"/>
  <c r="L61"/>
  <c r="I40"/>
  <c r="J40"/>
  <c r="I171"/>
  <c r="J171"/>
  <c r="L171"/>
  <c r="I172"/>
  <c r="J172"/>
  <c r="L172"/>
  <c r="J170"/>
  <c r="G277"/>
  <c r="F277"/>
  <c r="G276"/>
  <c r="F276"/>
  <c r="K275"/>
  <c r="G275"/>
  <c r="F275"/>
  <c r="F274"/>
  <c r="E274"/>
  <c r="F273"/>
  <c r="E273"/>
  <c r="F272"/>
  <c r="E272"/>
  <c r="G270"/>
  <c r="F270"/>
  <c r="G269"/>
  <c r="F269"/>
  <c r="K268"/>
  <c r="G268"/>
  <c r="F268"/>
  <c r="F267"/>
  <c r="E267"/>
  <c r="F266"/>
  <c r="E266"/>
  <c r="F265"/>
  <c r="E265"/>
  <c r="G263"/>
  <c r="F263"/>
  <c r="F262"/>
  <c r="K261"/>
  <c r="G261"/>
  <c r="F261"/>
  <c r="F260"/>
  <c r="E260"/>
  <c r="F259"/>
  <c r="E259"/>
  <c r="F258"/>
  <c r="E258"/>
  <c r="H255"/>
  <c r="F255"/>
  <c r="K254"/>
  <c r="K255"/>
  <c r="H254"/>
  <c r="F253"/>
  <c r="E253"/>
  <c r="F252"/>
  <c r="E252"/>
  <c r="F251"/>
  <c r="E251"/>
  <c r="L44"/>
  <c r="K44"/>
  <c r="L177"/>
  <c r="L170"/>
  <c r="K177"/>
  <c r="F257"/>
  <c r="G257"/>
  <c r="E268"/>
  <c r="F271"/>
  <c r="F254"/>
  <c r="F264"/>
  <c r="E275"/>
  <c r="E261"/>
  <c r="E255"/>
  <c r="K256"/>
  <c r="K250"/>
  <c r="K262"/>
  <c r="K269"/>
  <c r="K276"/>
  <c r="E254"/>
  <c r="K114"/>
  <c r="E256"/>
  <c r="H256"/>
  <c r="H250"/>
  <c r="E269"/>
  <c r="K270"/>
  <c r="K264"/>
  <c r="E276"/>
  <c r="K277"/>
  <c r="K271"/>
  <c r="E262"/>
  <c r="K263"/>
  <c r="K257"/>
  <c r="H115"/>
  <c r="G115"/>
  <c r="F256"/>
  <c r="F250"/>
  <c r="E263"/>
  <c r="E257"/>
  <c r="E277"/>
  <c r="E270"/>
  <c r="M177"/>
  <c r="M88"/>
  <c r="M87"/>
  <c r="M86"/>
  <c r="H65"/>
  <c r="H247"/>
  <c r="I177"/>
  <c r="H163"/>
  <c r="H116"/>
  <c r="G116"/>
  <c r="H87"/>
  <c r="G72"/>
  <c r="G73"/>
  <c r="G74"/>
  <c r="H45"/>
  <c r="H243"/>
  <c r="I170"/>
  <c r="I173"/>
  <c r="H61"/>
  <c r="H170"/>
  <c r="L85"/>
  <c r="E271"/>
  <c r="G271"/>
  <c r="G264"/>
  <c r="E264"/>
  <c r="M178"/>
  <c r="N88"/>
  <c r="N46"/>
  <c r="N44"/>
  <c r="F44"/>
  <c r="G184"/>
  <c r="H186"/>
  <c r="H183"/>
  <c r="H88"/>
  <c r="H46"/>
  <c r="L43"/>
  <c r="L176"/>
  <c r="M176"/>
  <c r="M43"/>
  <c r="M40"/>
  <c r="E250"/>
  <c r="G250"/>
  <c r="H178"/>
  <c r="L169"/>
  <c r="G68"/>
  <c r="H171"/>
  <c r="H179"/>
  <c r="H172"/>
  <c r="H176"/>
  <c r="M127"/>
  <c r="M113"/>
  <c r="M124"/>
  <c r="H43"/>
  <c r="G43"/>
  <c r="G44"/>
  <c r="H113"/>
  <c r="H85"/>
  <c r="G85"/>
  <c r="G86"/>
  <c r="H104"/>
  <c r="I104"/>
  <c r="J104"/>
  <c r="L104"/>
  <c r="I105"/>
  <c r="J105"/>
  <c r="I106"/>
  <c r="J106"/>
  <c r="I107"/>
  <c r="J107"/>
  <c r="L107"/>
  <c r="I108"/>
  <c r="J108"/>
  <c r="L108"/>
  <c r="H109"/>
  <c r="I109"/>
  <c r="J109"/>
  <c r="L109"/>
  <c r="L113"/>
  <c r="L106"/>
  <c r="H106"/>
  <c r="G176"/>
  <c r="J103"/>
  <c r="I103"/>
  <c r="H36"/>
  <c r="Q37"/>
  <c r="G113"/>
  <c r="G120"/>
  <c r="N120"/>
  <c r="H41"/>
  <c r="G41"/>
  <c r="M85"/>
  <c r="H78"/>
  <c r="N178"/>
  <c r="N171"/>
  <c r="N129"/>
  <c r="N122"/>
  <c r="N45"/>
  <c r="H322"/>
  <c r="H108"/>
  <c r="H107"/>
  <c r="M116"/>
  <c r="M179"/>
  <c r="N115"/>
  <c r="N108"/>
  <c r="F108"/>
  <c r="H175"/>
  <c r="H173"/>
  <c r="H182"/>
  <c r="H180"/>
  <c r="H42"/>
  <c r="H40"/>
  <c r="L42"/>
  <c r="L40"/>
  <c r="M175"/>
  <c r="N116"/>
  <c r="N109"/>
  <c r="F109"/>
  <c r="N179"/>
  <c r="N172"/>
  <c r="H35"/>
  <c r="L175"/>
  <c r="L173"/>
  <c r="L84"/>
  <c r="L82"/>
  <c r="L112"/>
  <c r="L105"/>
  <c r="L103"/>
  <c r="H84"/>
  <c r="H161"/>
  <c r="H159"/>
  <c r="H77"/>
  <c r="H82"/>
  <c r="H112"/>
  <c r="H105"/>
  <c r="H103"/>
  <c r="H168"/>
  <c r="H21"/>
  <c r="M112"/>
  <c r="F130"/>
  <c r="E130"/>
  <c r="F129"/>
  <c r="E129"/>
  <c r="F128"/>
  <c r="E128"/>
  <c r="G127"/>
  <c r="E127"/>
  <c r="F127"/>
  <c r="N126"/>
  <c r="F126"/>
  <c r="G126"/>
  <c r="E126"/>
  <c r="N125"/>
  <c r="G125"/>
  <c r="E125"/>
  <c r="N112"/>
  <c r="F123"/>
  <c r="E123"/>
  <c r="F122"/>
  <c r="F121"/>
  <c r="E121"/>
  <c r="F120"/>
  <c r="E120"/>
  <c r="N119"/>
  <c r="F119"/>
  <c r="G119"/>
  <c r="E119"/>
  <c r="N118"/>
  <c r="F118"/>
  <c r="G118"/>
  <c r="M84"/>
  <c r="M82"/>
  <c r="G64"/>
  <c r="G65"/>
  <c r="G37"/>
  <c r="N124"/>
  <c r="F125"/>
  <c r="F124"/>
  <c r="M173"/>
  <c r="N117"/>
  <c r="F117"/>
  <c r="E124"/>
  <c r="G124"/>
  <c r="E118"/>
  <c r="G117"/>
  <c r="N105"/>
  <c r="F105"/>
  <c r="N87"/>
  <c r="F112"/>
  <c r="E122"/>
  <c r="G246"/>
  <c r="G247"/>
  <c r="G107"/>
  <c r="G84"/>
  <c r="E117"/>
  <c r="G248"/>
  <c r="G249"/>
  <c r="G170"/>
  <c r="G78"/>
  <c r="G178"/>
  <c r="G66"/>
  <c r="G67"/>
  <c r="G179"/>
  <c r="G87"/>
  <c r="G45"/>
  <c r="G46"/>
  <c r="G108"/>
  <c r="G38"/>
  <c r="G39"/>
  <c r="G88"/>
  <c r="G109"/>
  <c r="H79"/>
  <c r="H317"/>
  <c r="H76"/>
  <c r="G77"/>
  <c r="G80"/>
  <c r="H80"/>
  <c r="H81"/>
  <c r="F102"/>
  <c r="F101"/>
  <c r="E100"/>
  <c r="F100"/>
  <c r="F99"/>
  <c r="E99"/>
  <c r="F98"/>
  <c r="E98"/>
  <c r="F97"/>
  <c r="E97"/>
  <c r="K175"/>
  <c r="G175"/>
  <c r="K112"/>
  <c r="K105"/>
  <c r="K104"/>
  <c r="K43"/>
  <c r="K45"/>
  <c r="K46"/>
  <c r="K42"/>
  <c r="G42"/>
  <c r="F96"/>
  <c r="G81"/>
  <c r="G32"/>
  <c r="H75"/>
  <c r="E101"/>
  <c r="E102"/>
  <c r="L30"/>
  <c r="E96"/>
  <c r="N244"/>
  <c r="N243"/>
  <c r="N223"/>
  <c r="N222"/>
  <c r="N160"/>
  <c r="N159"/>
  <c r="M145"/>
  <c r="N62"/>
  <c r="N61"/>
  <c r="N48"/>
  <c r="N47"/>
  <c r="H321"/>
  <c r="N216"/>
  <c r="N236"/>
  <c r="M236"/>
  <c r="N230"/>
  <c r="M229"/>
  <c r="N177"/>
  <c r="M215"/>
  <c r="M214"/>
  <c r="M213"/>
  <c r="M212"/>
  <c r="M211"/>
  <c r="M210"/>
  <c r="M209"/>
  <c r="N208"/>
  <c r="M207"/>
  <c r="M206"/>
  <c r="M205"/>
  <c r="M204"/>
  <c r="M203"/>
  <c r="M202"/>
  <c r="N201"/>
  <c r="N195"/>
  <c r="M194"/>
  <c r="N188"/>
  <c r="M187"/>
  <c r="M182"/>
  <c r="M183"/>
  <c r="M181"/>
  <c r="N176"/>
  <c r="N174"/>
  <c r="M158"/>
  <c r="M109"/>
  <c r="M157"/>
  <c r="M108"/>
  <c r="M156"/>
  <c r="M107"/>
  <c r="M155"/>
  <c r="M106"/>
  <c r="M154"/>
  <c r="M105"/>
  <c r="M153"/>
  <c r="M104"/>
  <c r="N152"/>
  <c r="N146"/>
  <c r="N139"/>
  <c r="M138"/>
  <c r="N132"/>
  <c r="M131"/>
  <c r="N114"/>
  <c r="N107"/>
  <c r="F107"/>
  <c r="N113"/>
  <c r="N106"/>
  <c r="F106"/>
  <c r="N32"/>
  <c r="N31"/>
  <c r="N90"/>
  <c r="M89"/>
  <c r="M81"/>
  <c r="N86"/>
  <c r="N79"/>
  <c r="N85"/>
  <c r="N84"/>
  <c r="N77"/>
  <c r="N83"/>
  <c r="N81"/>
  <c r="N80"/>
  <c r="M76"/>
  <c r="M65"/>
  <c r="N54"/>
  <c r="M54"/>
  <c r="M47"/>
  <c r="N43"/>
  <c r="N36"/>
  <c r="N42"/>
  <c r="N35"/>
  <c r="N41"/>
  <c r="N39"/>
  <c r="N38"/>
  <c r="N37"/>
  <c r="M36"/>
  <c r="M35"/>
  <c r="M34"/>
  <c r="N34"/>
  <c r="N40"/>
  <c r="M66"/>
  <c r="M38"/>
  <c r="N170"/>
  <c r="N317"/>
  <c r="F177"/>
  <c r="N33"/>
  <c r="N82"/>
  <c r="M27"/>
  <c r="M103"/>
  <c r="N319"/>
  <c r="N25"/>
  <c r="N318"/>
  <c r="N24"/>
  <c r="N104"/>
  <c r="N103"/>
  <c r="M28"/>
  <c r="M31"/>
  <c r="F114"/>
  <c r="N30"/>
  <c r="M201"/>
  <c r="M37"/>
  <c r="M30"/>
  <c r="M78"/>
  <c r="N28"/>
  <c r="N131"/>
  <c r="M152"/>
  <c r="N169"/>
  <c r="N187"/>
  <c r="M208"/>
  <c r="M222"/>
  <c r="N145"/>
  <c r="N194"/>
  <c r="M167"/>
  <c r="M314"/>
  <c r="N229"/>
  <c r="N215"/>
  <c r="M32"/>
  <c r="N175"/>
  <c r="N168"/>
  <c r="M168"/>
  <c r="M79"/>
  <c r="M29"/>
  <c r="M110"/>
  <c r="M80"/>
  <c r="M77"/>
  <c r="N89"/>
  <c r="M67"/>
  <c r="M39"/>
  <c r="N138"/>
  <c r="N78"/>
  <c r="N167"/>
  <c r="M184"/>
  <c r="M169"/>
  <c r="N76"/>
  <c r="N110"/>
  <c r="N20"/>
  <c r="M75"/>
  <c r="N173"/>
  <c r="M170"/>
  <c r="M23"/>
  <c r="E184"/>
  <c r="N75"/>
  <c r="M33"/>
  <c r="M61"/>
  <c r="N166"/>
  <c r="N27"/>
  <c r="F104"/>
  <c r="F103"/>
  <c r="M26"/>
  <c r="N23"/>
  <c r="N29"/>
  <c r="N26"/>
  <c r="N315"/>
  <c r="M21"/>
  <c r="N22"/>
  <c r="M22"/>
  <c r="M20"/>
  <c r="N21"/>
  <c r="N316"/>
  <c r="M315"/>
  <c r="M316"/>
  <c r="M185"/>
  <c r="N314"/>
  <c r="M171"/>
  <c r="E185"/>
  <c r="G40"/>
  <c r="N19"/>
  <c r="M317"/>
  <c r="N313"/>
  <c r="M186"/>
  <c r="M172"/>
  <c r="M166"/>
  <c r="M180"/>
  <c r="M25"/>
  <c r="M319"/>
  <c r="M318"/>
  <c r="M24"/>
  <c r="G245"/>
  <c r="G243"/>
  <c r="G63"/>
  <c r="G61"/>
  <c r="M19"/>
  <c r="M313"/>
  <c r="G183"/>
  <c r="G182"/>
  <c r="G168"/>
  <c r="G162"/>
  <c r="G106"/>
  <c r="G112"/>
  <c r="G79"/>
  <c r="E112"/>
  <c r="G169"/>
  <c r="G161"/>
  <c r="L34"/>
  <c r="G174"/>
  <c r="G173"/>
  <c r="K176"/>
  <c r="K178"/>
  <c r="K113"/>
  <c r="K106"/>
  <c r="K85"/>
  <c r="E85"/>
  <c r="L27"/>
  <c r="H237"/>
  <c r="F237"/>
  <c r="K237"/>
  <c r="G105"/>
  <c r="E105"/>
  <c r="G159"/>
  <c r="G186"/>
  <c r="G171"/>
  <c r="K179"/>
  <c r="E106"/>
  <c r="K78"/>
  <c r="H28"/>
  <c r="G318"/>
  <c r="G172"/>
  <c r="K107"/>
  <c r="K87"/>
  <c r="E86"/>
  <c r="K174"/>
  <c r="G25"/>
  <c r="G319"/>
  <c r="E107"/>
  <c r="K108"/>
  <c r="E108"/>
  <c r="K88"/>
  <c r="E87"/>
  <c r="L76"/>
  <c r="K109"/>
  <c r="E109"/>
  <c r="K41"/>
  <c r="K173"/>
  <c r="E41"/>
  <c r="K40"/>
  <c r="F249"/>
  <c r="F248"/>
  <c r="F247"/>
  <c r="F246"/>
  <c r="K245"/>
  <c r="F245"/>
  <c r="E245"/>
  <c r="F244"/>
  <c r="E244"/>
  <c r="G237"/>
  <c r="L236"/>
  <c r="J236"/>
  <c r="I236"/>
  <c r="H236"/>
  <c r="G230"/>
  <c r="F230"/>
  <c r="E230"/>
  <c r="L229"/>
  <c r="J229"/>
  <c r="H229"/>
  <c r="G223"/>
  <c r="F223"/>
  <c r="L222"/>
  <c r="K222"/>
  <c r="J222"/>
  <c r="I222"/>
  <c r="H222"/>
  <c r="G216"/>
  <c r="F216"/>
  <c r="E216"/>
  <c r="L215"/>
  <c r="K215"/>
  <c r="J215"/>
  <c r="I215"/>
  <c r="H215"/>
  <c r="F214"/>
  <c r="F213"/>
  <c r="F212"/>
  <c r="F211"/>
  <c r="F210"/>
  <c r="F209"/>
  <c r="L208"/>
  <c r="K208"/>
  <c r="J208"/>
  <c r="I208"/>
  <c r="H208"/>
  <c r="G208"/>
  <c r="F207"/>
  <c r="F206"/>
  <c r="F205"/>
  <c r="F204"/>
  <c r="F203"/>
  <c r="F202"/>
  <c r="L201"/>
  <c r="K201"/>
  <c r="J201"/>
  <c r="I201"/>
  <c r="H201"/>
  <c r="G201"/>
  <c r="G195"/>
  <c r="E195"/>
  <c r="F195"/>
  <c r="L194"/>
  <c r="K194"/>
  <c r="J194"/>
  <c r="I194"/>
  <c r="H194"/>
  <c r="F188"/>
  <c r="E188"/>
  <c r="L187"/>
  <c r="J187"/>
  <c r="I187"/>
  <c r="H187"/>
  <c r="F186"/>
  <c r="F185"/>
  <c r="F184"/>
  <c r="F183"/>
  <c r="F182"/>
  <c r="G181"/>
  <c r="F181"/>
  <c r="F179"/>
  <c r="F178"/>
  <c r="F176"/>
  <c r="F175"/>
  <c r="F174"/>
  <c r="J169"/>
  <c r="H169"/>
  <c r="L168"/>
  <c r="J168"/>
  <c r="L167"/>
  <c r="L20"/>
  <c r="K167"/>
  <c r="J167"/>
  <c r="I167"/>
  <c r="H167"/>
  <c r="F165"/>
  <c r="E165"/>
  <c r="F164"/>
  <c r="E164"/>
  <c r="F163"/>
  <c r="E163"/>
  <c r="F162"/>
  <c r="E162"/>
  <c r="F161"/>
  <c r="E161"/>
  <c r="F160"/>
  <c r="F159"/>
  <c r="E160"/>
  <c r="E159"/>
  <c r="F158"/>
  <c r="F157"/>
  <c r="F156"/>
  <c r="F155"/>
  <c r="F154"/>
  <c r="F153"/>
  <c r="L152"/>
  <c r="K152"/>
  <c r="J152"/>
  <c r="I152"/>
  <c r="H152"/>
  <c r="G152"/>
  <c r="G146"/>
  <c r="G104"/>
  <c r="F146"/>
  <c r="E146"/>
  <c r="L145"/>
  <c r="K145"/>
  <c r="J145"/>
  <c r="I145"/>
  <c r="H145"/>
  <c r="F139"/>
  <c r="E139"/>
  <c r="L138"/>
  <c r="J138"/>
  <c r="I138"/>
  <c r="H138"/>
  <c r="F132"/>
  <c r="E132"/>
  <c r="L131"/>
  <c r="K131"/>
  <c r="J131"/>
  <c r="I131"/>
  <c r="H131"/>
  <c r="F116"/>
  <c r="F113"/>
  <c r="K28"/>
  <c r="K27"/>
  <c r="L110"/>
  <c r="J110"/>
  <c r="I110"/>
  <c r="H110"/>
  <c r="L32"/>
  <c r="J32"/>
  <c r="I32"/>
  <c r="H32"/>
  <c r="L31"/>
  <c r="J31"/>
  <c r="I31"/>
  <c r="H31"/>
  <c r="J30"/>
  <c r="I30"/>
  <c r="H30"/>
  <c r="L29"/>
  <c r="J29"/>
  <c r="I29"/>
  <c r="H29"/>
  <c r="J28"/>
  <c r="I28"/>
  <c r="J27"/>
  <c r="I27"/>
  <c r="H27"/>
  <c r="F90"/>
  <c r="E90"/>
  <c r="L89"/>
  <c r="K89"/>
  <c r="J89"/>
  <c r="I89"/>
  <c r="H89"/>
  <c r="F88"/>
  <c r="F87"/>
  <c r="F86"/>
  <c r="F85"/>
  <c r="K84"/>
  <c r="E84"/>
  <c r="F84"/>
  <c r="K83"/>
  <c r="K76"/>
  <c r="G83"/>
  <c r="G82"/>
  <c r="F83"/>
  <c r="L81"/>
  <c r="J81"/>
  <c r="I81"/>
  <c r="L80"/>
  <c r="J80"/>
  <c r="I80"/>
  <c r="L79"/>
  <c r="J79"/>
  <c r="I79"/>
  <c r="L78"/>
  <c r="J78"/>
  <c r="I78"/>
  <c r="E78"/>
  <c r="L77"/>
  <c r="K77"/>
  <c r="J77"/>
  <c r="I77"/>
  <c r="E77"/>
  <c r="J76"/>
  <c r="I76"/>
  <c r="F74"/>
  <c r="E74"/>
  <c r="F73"/>
  <c r="E73"/>
  <c r="F72"/>
  <c r="E72"/>
  <c r="F71"/>
  <c r="E71"/>
  <c r="F70"/>
  <c r="E70"/>
  <c r="F69"/>
  <c r="E69"/>
  <c r="F67"/>
  <c r="F66"/>
  <c r="F65"/>
  <c r="F64"/>
  <c r="E64"/>
  <c r="F63"/>
  <c r="E63"/>
  <c r="F62"/>
  <c r="E62"/>
  <c r="F60"/>
  <c r="E60"/>
  <c r="F59"/>
  <c r="E59"/>
  <c r="F58"/>
  <c r="E58"/>
  <c r="F57"/>
  <c r="E57"/>
  <c r="F56"/>
  <c r="E56"/>
  <c r="F55"/>
  <c r="E55"/>
  <c r="L54"/>
  <c r="K54"/>
  <c r="J54"/>
  <c r="I54"/>
  <c r="H54"/>
  <c r="G54"/>
  <c r="F54"/>
  <c r="E54"/>
  <c r="K48"/>
  <c r="E48"/>
  <c r="F48"/>
  <c r="L47"/>
  <c r="J47"/>
  <c r="H47"/>
  <c r="F46"/>
  <c r="F45"/>
  <c r="F43"/>
  <c r="F42"/>
  <c r="F41"/>
  <c r="L39"/>
  <c r="J39"/>
  <c r="H39"/>
  <c r="L38"/>
  <c r="J38"/>
  <c r="H38"/>
  <c r="L37"/>
  <c r="J37"/>
  <c r="H37"/>
  <c r="L36"/>
  <c r="J36"/>
  <c r="L35"/>
  <c r="L21"/>
  <c r="J35"/>
  <c r="J34"/>
  <c r="I34"/>
  <c r="H34"/>
  <c r="F68"/>
  <c r="L23"/>
  <c r="F61"/>
  <c r="H26"/>
  <c r="J26"/>
  <c r="F40"/>
  <c r="H20"/>
  <c r="H314"/>
  <c r="G103"/>
  <c r="E104"/>
  <c r="J75"/>
  <c r="F82"/>
  <c r="L166"/>
  <c r="F243"/>
  <c r="H33"/>
  <c r="F173"/>
  <c r="F180"/>
  <c r="L75"/>
  <c r="E68"/>
  <c r="L33"/>
  <c r="J33"/>
  <c r="H166"/>
  <c r="J166"/>
  <c r="I75"/>
  <c r="J319"/>
  <c r="J25"/>
  <c r="J318"/>
  <c r="J24"/>
  <c r="I20"/>
  <c r="I26"/>
  <c r="J317"/>
  <c r="J23"/>
  <c r="L25"/>
  <c r="L319"/>
  <c r="L318"/>
  <c r="L24"/>
  <c r="L317"/>
  <c r="H22"/>
  <c r="J22"/>
  <c r="G76"/>
  <c r="E83"/>
  <c r="J21"/>
  <c r="L22"/>
  <c r="F31"/>
  <c r="F32"/>
  <c r="J20"/>
  <c r="F27"/>
  <c r="F29"/>
  <c r="F30"/>
  <c r="L28"/>
  <c r="F201"/>
  <c r="F208"/>
  <c r="H316"/>
  <c r="I35"/>
  <c r="F152"/>
  <c r="I168"/>
  <c r="K168"/>
  <c r="F89"/>
  <c r="F131"/>
  <c r="K34"/>
  <c r="K20"/>
  <c r="K246"/>
  <c r="K247"/>
  <c r="K170"/>
  <c r="E170"/>
  <c r="F187"/>
  <c r="F138"/>
  <c r="F47"/>
  <c r="G35"/>
  <c r="G21"/>
  <c r="E237"/>
  <c r="F194"/>
  <c r="K35"/>
  <c r="I36"/>
  <c r="F145"/>
  <c r="I314"/>
  <c r="J314"/>
  <c r="L314"/>
  <c r="H315"/>
  <c r="L315"/>
  <c r="J316"/>
  <c r="L316"/>
  <c r="F215"/>
  <c r="F222"/>
  <c r="F229"/>
  <c r="F236"/>
  <c r="I169"/>
  <c r="G167"/>
  <c r="K29"/>
  <c r="G27"/>
  <c r="G34"/>
  <c r="K36"/>
  <c r="I37"/>
  <c r="E34"/>
  <c r="G180"/>
  <c r="I315"/>
  <c r="I166"/>
  <c r="E76"/>
  <c r="G75"/>
  <c r="J19"/>
  <c r="L19"/>
  <c r="F28"/>
  <c r="F26"/>
  <c r="L26"/>
  <c r="F20"/>
  <c r="F22"/>
  <c r="K314"/>
  <c r="K21"/>
  <c r="E27"/>
  <c r="G20"/>
  <c r="G314"/>
  <c r="F314"/>
  <c r="I22"/>
  <c r="I21"/>
  <c r="F21"/>
  <c r="E246"/>
  <c r="K47"/>
  <c r="E247"/>
  <c r="K248"/>
  <c r="I316"/>
  <c r="K169"/>
  <c r="K316"/>
  <c r="K229"/>
  <c r="K315"/>
  <c r="L313"/>
  <c r="J313"/>
  <c r="K236"/>
  <c r="K110"/>
  <c r="K30"/>
  <c r="K80"/>
  <c r="K79"/>
  <c r="K37"/>
  <c r="I38"/>
  <c r="G166"/>
  <c r="K82"/>
  <c r="I318"/>
  <c r="I24"/>
  <c r="K249"/>
  <c r="K243"/>
  <c r="K171"/>
  <c r="E20"/>
  <c r="I23"/>
  <c r="I317"/>
  <c r="E79"/>
  <c r="K23"/>
  <c r="K317"/>
  <c r="E314"/>
  <c r="E21"/>
  <c r="G315"/>
  <c r="G321"/>
  <c r="G28"/>
  <c r="K22"/>
  <c r="E248"/>
  <c r="G187"/>
  <c r="I229"/>
  <c r="K187"/>
  <c r="K32"/>
  <c r="E32"/>
  <c r="K31"/>
  <c r="K138"/>
  <c r="G29"/>
  <c r="G138"/>
  <c r="K81"/>
  <c r="G89"/>
  <c r="I39"/>
  <c r="I33"/>
  <c r="I47"/>
  <c r="E43"/>
  <c r="G36"/>
  <c r="K39"/>
  <c r="K38"/>
  <c r="G47"/>
  <c r="G22"/>
  <c r="E22"/>
  <c r="G33"/>
  <c r="K103"/>
  <c r="K33"/>
  <c r="E249"/>
  <c r="E243"/>
  <c r="K75"/>
  <c r="E81"/>
  <c r="I319"/>
  <c r="I313"/>
  <c r="I25"/>
  <c r="I19"/>
  <c r="K172"/>
  <c r="K25"/>
  <c r="K318"/>
  <c r="K24"/>
  <c r="E315"/>
  <c r="E29"/>
  <c r="E28"/>
  <c r="E187"/>
  <c r="G316"/>
  <c r="G322"/>
  <c r="G145"/>
  <c r="E131"/>
  <c r="G131"/>
  <c r="G30"/>
  <c r="F168"/>
  <c r="F169"/>
  <c r="F170"/>
  <c r="F171"/>
  <c r="F172"/>
  <c r="F167"/>
  <c r="F35"/>
  <c r="E36"/>
  <c r="F36"/>
  <c r="F37"/>
  <c r="F38"/>
  <c r="F39"/>
  <c r="F34"/>
  <c r="E65"/>
  <c r="E103"/>
  <c r="F33"/>
  <c r="K319"/>
  <c r="K313"/>
  <c r="K166"/>
  <c r="F166"/>
  <c r="K19"/>
  <c r="E25"/>
  <c r="E30"/>
  <c r="G215"/>
  <c r="G194"/>
  <c r="G222"/>
  <c r="G236"/>
  <c r="G229"/>
  <c r="G31"/>
  <c r="E31"/>
  <c r="E88"/>
  <c r="E82"/>
  <c r="E66"/>
  <c r="E67"/>
  <c r="F76"/>
  <c r="E44"/>
  <c r="E223"/>
  <c r="E210"/>
  <c r="E211"/>
  <c r="E212"/>
  <c r="E213"/>
  <c r="E214"/>
  <c r="E209"/>
  <c r="E203"/>
  <c r="E204"/>
  <c r="E205"/>
  <c r="E206"/>
  <c r="E207"/>
  <c r="E202"/>
  <c r="E181"/>
  <c r="E174"/>
  <c r="E154"/>
  <c r="E155"/>
  <c r="E156"/>
  <c r="E157"/>
  <c r="E158"/>
  <c r="E153"/>
  <c r="E61"/>
  <c r="E26"/>
  <c r="K26"/>
  <c r="G26"/>
  <c r="E201"/>
  <c r="E152"/>
  <c r="E208"/>
  <c r="E47"/>
  <c r="E222"/>
  <c r="E35"/>
  <c r="E42"/>
  <c r="E111"/>
  <c r="E182"/>
  <c r="G110"/>
  <c r="E167"/>
  <c r="E45"/>
  <c r="E37"/>
  <c r="E229"/>
  <c r="E89"/>
  <c r="E183"/>
  <c r="E236"/>
  <c r="E38"/>
  <c r="E113"/>
  <c r="E194"/>
  <c r="F77"/>
  <c r="F78"/>
  <c r="F79"/>
  <c r="E168"/>
  <c r="E175"/>
  <c r="E39"/>
  <c r="E33"/>
  <c r="E46"/>
  <c r="E40"/>
  <c r="E215"/>
  <c r="E138"/>
  <c r="E114"/>
  <c r="E176"/>
  <c r="E145"/>
  <c r="F115"/>
  <c r="F110"/>
  <c r="E186"/>
  <c r="E180"/>
  <c r="E115"/>
  <c r="E177"/>
  <c r="E169"/>
  <c r="E80"/>
  <c r="E75"/>
  <c r="F80"/>
  <c r="E316"/>
  <c r="E178"/>
  <c r="F81"/>
  <c r="F75"/>
  <c r="E116"/>
  <c r="E110"/>
  <c r="E171"/>
  <c r="F315"/>
  <c r="F316"/>
  <c r="E179"/>
  <c r="E173"/>
  <c r="E172"/>
  <c r="E166"/>
  <c r="H318"/>
  <c r="F318"/>
  <c r="H24"/>
  <c r="F24"/>
  <c r="H319"/>
  <c r="G326"/>
  <c r="H25"/>
  <c r="F25"/>
  <c r="F319"/>
  <c r="G23"/>
  <c r="G317"/>
  <c r="E317"/>
  <c r="G24"/>
  <c r="E24"/>
  <c r="E23"/>
  <c r="E19"/>
  <c r="G19"/>
  <c r="E318"/>
  <c r="H23"/>
  <c r="Q23"/>
  <c r="S23"/>
  <c r="H19"/>
  <c r="E319"/>
  <c r="E313"/>
  <c r="G313"/>
  <c r="F317"/>
  <c r="F313"/>
  <c r="H313"/>
  <c r="G323"/>
  <c r="F23"/>
  <c r="F19"/>
</calcChain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1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G118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K11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H23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890 фнр к дню победы
</t>
        </r>
      </text>
    </comment>
  </commentList>
</comments>
</file>

<file path=xl/sharedStrings.xml><?xml version="1.0" encoding="utf-8"?>
<sst xmlns="http://schemas.openxmlformats.org/spreadsheetml/2006/main" count="415" uniqueCount="116">
  <si>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</si>
  <si>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</si>
  <si>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</si>
  <si>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</si>
  <si>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</si>
  <si>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</si>
  <si>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</si>
  <si>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</si>
  <si>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</si>
  <si>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</si>
  <si>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</si>
  <si>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</si>
  <si>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</si>
  <si>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</si>
  <si>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</si>
  <si>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</si>
  <si>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</si>
  <si>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</si>
  <si>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</si>
  <si>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</si>
  <si>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</si>
  <si>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</si>
  <si>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</si>
  <si>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</si>
  <si>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</si>
  <si>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</si>
  <si>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</si>
  <si>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</si>
  <si>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</si>
  <si>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</si>
  <si>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</si>
  <si>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</si>
  <si>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</si>
  <si>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</si>
  <si>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</si>
  <si>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</si>
  <si>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</si>
  <si>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</si>
  <si>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</si>
  <si>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</si>
  <si>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</si>
  <si>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</si>
  <si>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</si>
  <si>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</si>
  <si>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</si>
  <si>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</si>
  <si>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</si>
  <si>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</si>
  <si>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</si>
  <si>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</si>
  <si>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</si>
  <si>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</si>
  <si>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</si>
  <si>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</si>
  <si>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</si>
  <si>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</si>
  <si>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</si>
  <si>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</si>
  <si>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</si>
  <si>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</si>
  <si>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</si>
  <si>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</si>
  <si>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</si>
  <si>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</si>
  <si>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</si>
  <si>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</si>
  <si>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</si>
  <si>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</si>
  <si>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</si>
  <si>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</si>
  <si>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</si>
  <si>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</si>
  <si>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</si>
  <si>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</si>
  <si>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</si>
  <si>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</si>
  <si>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</si>
  <si>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</si>
  <si>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</si>
  <si>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</si>
  <si>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</si>
  <si>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</si>
  <si>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</si>
  <si>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</si>
  <si>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</si>
  <si>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</si>
  <si>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</si>
  <si>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</si>
  <si>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</si>
  <si>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</si>
  <si>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</si>
  <si>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</si>
  <si>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</si>
  <si>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</si>
  <si>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08 01(без район и без 155)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</si>
  <si>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</si>
  <si>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</si>
  <si>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</si>
  <si>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</si>
  <si>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</si>
  <si>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</si>
  <si>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</si>
  <si>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</si>
  <si>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</si>
  <si>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</si>
  <si>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</si>
  <si>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</si>
  <si>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</si>
  <si>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</si>
  <si>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допка</t>
  </si>
  <si>
    <t>УК    АКР
АЛР
АОР
АСР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</si>
  <si>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</si>
  <si>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 xml:space="preserve">Приложение 4 к постановлению
администрации Города Томска от    №
</t>
  </si>
  <si>
    <t>Наименования целей, задач, ведомственных целевых программ,  мероприятий  подпрограммы</t>
  </si>
  <si>
    <t>КЦСР 0310200590, 03102S0400, 0310240530, 03102S0670, 0310240670, 0310240400,     0310240690, 03102L5190                КВР 611,612, 621, 622</t>
  </si>
  <si>
    <t>администрации Города Томска от 12.12.2018 № 1128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</si>
</sst>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12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/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5" fontId="5" fillId="0" borderId="0" xfId="0" applyNumberFormat="1" applyFont="1" applyFill="1"/>
    <xf numFmtId="4" fontId="5" fillId="0" borderId="0" xfId="0" applyNumberFormat="1" applyFont="1" applyFill="1"/>
    <xf numFmtId="166" fontId="5" fillId="0" borderId="0" xfId="0" applyNumberFormat="1" applyFont="1" applyFill="1"/>
    <xf numFmtId="0" fontId="1" fillId="0" borderId="0" xfId="0" applyFont="1" applyFill="1" applyAlignment="1">
      <alignment vertical="center"/>
    </xf>
    <xf numFmtId="166" fontId="0" fillId="0" borderId="0" xfId="0" applyNumberFormat="1" applyFill="1"/>
    <xf numFmtId="0" fontId="2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0" xfId="0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6"/>
  <sheetViews>
    <sheetView tabSelected="1" zoomScale="90" zoomScaleNormal="90" workbookViewId="0">
      <selection activeCell="A2" sqref="A2:O2"/>
    </sheetView>
  </sheetViews>
  <sheetFormatPr defaultRowHeight="15.75"/>
  <cols>
    <col min="1" max="1" width="3.875" style="5" customWidth="1"/>
    <col min="2" max="2" width="19.375" style="24" customWidth="1"/>
    <col min="3" max="3" width="14.75" style="16" customWidth="1"/>
    <col min="4" max="4" width="9" style="16"/>
    <col min="5" max="5" width="11.5" style="12" customWidth="1"/>
    <col min="6" max="6" width="11.25" style="12" customWidth="1"/>
    <col min="7" max="7" width="11" style="16" customWidth="1"/>
    <col min="8" max="8" width="11.75" style="16" customWidth="1"/>
    <col min="9" max="9" width="8.625" style="16" customWidth="1"/>
    <col min="10" max="10" width="6.375" style="16" customWidth="1"/>
    <col min="11" max="11" width="10.75" style="16" customWidth="1"/>
    <col min="12" max="13" width="9.875" style="16" customWidth="1"/>
    <col min="14" max="14" width="9.625" style="16" customWidth="1"/>
    <col min="15" max="15" width="11.875" style="26" customWidth="1"/>
    <col min="16" max="16" width="1.375" style="5" hidden="1" customWidth="1"/>
    <col min="17" max="17" width="24.5" style="5" hidden="1" customWidth="1"/>
    <col min="18" max="18" width="14.125" style="5" hidden="1" customWidth="1"/>
    <col min="19" max="19" width="9.75" style="5" hidden="1" customWidth="1"/>
    <col min="20" max="22" width="7.5" style="5" hidden="1" customWidth="1"/>
    <col min="23" max="23" width="10.125" style="5" bestFit="1" customWidth="1"/>
    <col min="24" max="24" width="7.25" style="5" bestFit="1" customWidth="1"/>
    <col min="25" max="25" width="8" style="5" bestFit="1" customWidth="1"/>
    <col min="26" max="26" width="8.125" style="5" bestFit="1" customWidth="1"/>
    <col min="27" max="28" width="10.125" style="5" bestFit="1" customWidth="1"/>
    <col min="29" max="29" width="0" style="5" hidden="1" customWidth="1"/>
    <col min="30" max="30" width="10.125" style="5" bestFit="1" customWidth="1"/>
    <col min="31" max="31" width="9.75" style="5" bestFit="1" customWidth="1"/>
    <col min="32" max="32" width="9.125" style="5" bestFit="1" customWidth="1"/>
    <col min="33" max="16384" width="9" style="5"/>
  </cols>
  <sheetData>
    <row r="1" spans="1:16">
      <c r="A1" s="84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6">
      <c r="A2" s="85" t="s">
        <v>115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6">
      <c r="A3" s="28"/>
      <c r="L3" s="86" t="s">
        <v>111</v>
      </c>
      <c r="M3" s="86"/>
      <c r="N3" s="86"/>
      <c r="O3" s="86"/>
    </row>
    <row r="4" spans="1:16">
      <c r="A4" s="28"/>
      <c r="L4" s="86"/>
      <c r="M4" s="86"/>
      <c r="N4" s="86"/>
      <c r="O4" s="86"/>
    </row>
    <row r="5" spans="1:16">
      <c r="A5" s="28"/>
      <c r="L5" s="86"/>
      <c r="M5" s="86"/>
      <c r="N5" s="86"/>
      <c r="O5" s="86"/>
    </row>
    <row r="6" spans="1:16" ht="43.15" customHeight="1">
      <c r="A6" s="28"/>
      <c r="L6" s="86"/>
      <c r="M6" s="86"/>
      <c r="N6" s="86"/>
      <c r="O6" s="86"/>
    </row>
    <row r="7" spans="1:16">
      <c r="A7" s="29"/>
    </row>
    <row r="8" spans="1:16">
      <c r="A8" s="91" t="s">
        <v>52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6">
      <c r="A9" s="29"/>
    </row>
    <row r="10" spans="1:16" hidden="1">
      <c r="A10" s="29"/>
    </row>
    <row r="11" spans="1:16">
      <c r="A11" s="29"/>
    </row>
    <row r="12" spans="1:16">
      <c r="A12" s="55" t="s">
        <v>0</v>
      </c>
      <c r="B12" s="68" t="s">
        <v>113</v>
      </c>
      <c r="C12" s="68" t="s">
        <v>60</v>
      </c>
      <c r="D12" s="55" t="s">
        <v>1</v>
      </c>
      <c r="E12" s="90" t="s">
        <v>34</v>
      </c>
      <c r="F12" s="90"/>
      <c r="G12" s="55" t="s">
        <v>2</v>
      </c>
      <c r="H12" s="55"/>
      <c r="I12" s="55"/>
      <c r="J12" s="55"/>
      <c r="K12" s="55"/>
      <c r="L12" s="55"/>
      <c r="M12" s="55"/>
      <c r="N12" s="55"/>
      <c r="O12" s="55" t="s">
        <v>3</v>
      </c>
    </row>
    <row r="13" spans="1:16" ht="43.9" customHeight="1">
      <c r="A13" s="55"/>
      <c r="B13" s="69"/>
      <c r="C13" s="69"/>
      <c r="D13" s="55"/>
      <c r="E13" s="90"/>
      <c r="F13" s="90"/>
      <c r="G13" s="55" t="s">
        <v>4</v>
      </c>
      <c r="H13" s="55"/>
      <c r="I13" s="55" t="s">
        <v>5</v>
      </c>
      <c r="J13" s="55"/>
      <c r="K13" s="55" t="s">
        <v>6</v>
      </c>
      <c r="L13" s="55"/>
      <c r="M13" s="55" t="s">
        <v>7</v>
      </c>
      <c r="N13" s="55"/>
      <c r="O13" s="55"/>
      <c r="P13" s="30"/>
    </row>
    <row r="14" spans="1:16" ht="91.9" customHeight="1">
      <c r="A14" s="55"/>
      <c r="B14" s="76"/>
      <c r="C14" s="76"/>
      <c r="D14" s="55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75</v>
      </c>
      <c r="O14" s="1"/>
      <c r="P14" s="30"/>
    </row>
    <row r="15" spans="1:16" s="28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1"/>
    </row>
    <row r="16" spans="1:16" s="16" customFormat="1">
      <c r="A16" s="94" t="s">
        <v>47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32"/>
    </row>
    <row r="17" spans="1:33" ht="19.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30"/>
    </row>
    <row r="18" spans="1:33" ht="16.5" hidden="1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30"/>
    </row>
    <row r="19" spans="1:33" ht="16.5" customHeight="1">
      <c r="A19" s="92"/>
      <c r="B19" s="51" t="s">
        <v>108</v>
      </c>
      <c r="C19" s="12"/>
      <c r="D19" s="10" t="s">
        <v>11</v>
      </c>
      <c r="E19" s="2">
        <f t="shared" ref="E19:N19" si="0">SUM(E20:E25)</f>
        <v>1659362.5790000004</v>
      </c>
      <c r="F19" s="2">
        <f t="shared" si="0"/>
        <v>1352339.3869999999</v>
      </c>
      <c r="G19" s="2">
        <f t="shared" si="0"/>
        <v>1013080.65</v>
      </c>
      <c r="H19" s="2">
        <f t="shared" si="0"/>
        <v>909184.97999999975</v>
      </c>
      <c r="I19" s="2">
        <f t="shared" si="0"/>
        <v>2676.3</v>
      </c>
      <c r="J19" s="2">
        <f t="shared" si="0"/>
        <v>518.5</v>
      </c>
      <c r="K19" s="2">
        <f t="shared" si="0"/>
        <v>453109.77899999998</v>
      </c>
      <c r="L19" s="2">
        <f t="shared" si="0"/>
        <v>252140.05699999997</v>
      </c>
      <c r="M19" s="2">
        <f t="shared" si="0"/>
        <v>190495.85</v>
      </c>
      <c r="N19" s="2">
        <f t="shared" si="0"/>
        <v>190495.85</v>
      </c>
      <c r="O19" s="71" t="s">
        <v>110</v>
      </c>
      <c r="P19" s="30"/>
    </row>
    <row r="20" spans="1:33" s="11" customFormat="1" ht="15.75" customHeight="1">
      <c r="A20" s="93"/>
      <c r="B20" s="52"/>
      <c r="D20" s="10" t="s">
        <v>12</v>
      </c>
      <c r="E20" s="2">
        <f t="shared" ref="E20:F25" si="1">G20+I20+K20+M20</f>
        <v>243155.5</v>
      </c>
      <c r="F20" s="2">
        <f t="shared" si="1"/>
        <v>207312.2</v>
      </c>
      <c r="G20" s="2">
        <f t="shared" ref="G20:N22" si="2">G34+G76+G167</f>
        <v>170316.79999999999</v>
      </c>
      <c r="H20" s="2">
        <f t="shared" si="2"/>
        <v>138477.5</v>
      </c>
      <c r="I20" s="2">
        <f t="shared" si="2"/>
        <v>725</v>
      </c>
      <c r="J20" s="2">
        <f t="shared" si="2"/>
        <v>0</v>
      </c>
      <c r="K20" s="2">
        <f t="shared" si="2"/>
        <v>42070</v>
      </c>
      <c r="L20" s="2">
        <f t="shared" si="2"/>
        <v>38791</v>
      </c>
      <c r="M20" s="2">
        <f t="shared" si="2"/>
        <v>30043.699999999997</v>
      </c>
      <c r="N20" s="2">
        <f t="shared" si="2"/>
        <v>30043.699999999997</v>
      </c>
      <c r="O20" s="99"/>
      <c r="P20" s="33"/>
      <c r="AF20" s="36"/>
    </row>
    <row r="21" spans="1:33" s="11" customFormat="1" ht="15.75" customHeight="1">
      <c r="A21" s="93"/>
      <c r="B21" s="52"/>
      <c r="C21" s="90" t="s">
        <v>67</v>
      </c>
      <c r="D21" s="10" t="s">
        <v>13</v>
      </c>
      <c r="E21" s="2">
        <f t="shared" si="1"/>
        <v>234210.14999999997</v>
      </c>
      <c r="F21" s="2">
        <f t="shared" si="1"/>
        <v>219554.24</v>
      </c>
      <c r="G21" s="2">
        <f t="shared" si="2"/>
        <v>156692.44999999998</v>
      </c>
      <c r="H21" s="2">
        <f t="shared" si="2"/>
        <v>146006.53999999998</v>
      </c>
      <c r="I21" s="2">
        <f t="shared" si="2"/>
        <v>797.5</v>
      </c>
      <c r="J21" s="2">
        <f t="shared" si="2"/>
        <v>0</v>
      </c>
      <c r="K21" s="2">
        <f t="shared" si="2"/>
        <v>40827.4</v>
      </c>
      <c r="L21" s="2">
        <f t="shared" si="2"/>
        <v>37654.9</v>
      </c>
      <c r="M21" s="2">
        <f t="shared" si="2"/>
        <v>35892.800000000003</v>
      </c>
      <c r="N21" s="2">
        <f t="shared" si="2"/>
        <v>35892.800000000003</v>
      </c>
      <c r="O21" s="99"/>
      <c r="P21" s="4"/>
    </row>
    <row r="22" spans="1:33" s="11" customFormat="1" ht="15.6" customHeight="1">
      <c r="A22" s="93"/>
      <c r="B22" s="52"/>
      <c r="C22" s="90"/>
      <c r="D22" s="10" t="s">
        <v>14</v>
      </c>
      <c r="E22" s="2">
        <f t="shared" si="1"/>
        <v>278338.59600000002</v>
      </c>
      <c r="F22" s="2">
        <f t="shared" si="1"/>
        <v>270093.196</v>
      </c>
      <c r="G22" s="2">
        <f t="shared" si="2"/>
        <v>164042.5</v>
      </c>
      <c r="H22" s="2">
        <f t="shared" si="2"/>
        <v>157321.79999999999</v>
      </c>
      <c r="I22" s="2">
        <f t="shared" si="2"/>
        <v>635.29999999999995</v>
      </c>
      <c r="J22" s="2">
        <f t="shared" si="2"/>
        <v>0</v>
      </c>
      <c r="K22" s="2">
        <f t="shared" si="2"/>
        <v>72734.296000000002</v>
      </c>
      <c r="L22" s="2">
        <f t="shared" si="2"/>
        <v>71844.895999999993</v>
      </c>
      <c r="M22" s="2">
        <f t="shared" si="2"/>
        <v>40926.5</v>
      </c>
      <c r="N22" s="2">
        <f t="shared" si="2"/>
        <v>40926.5</v>
      </c>
      <c r="O22" s="99"/>
      <c r="P22" s="4"/>
      <c r="Q22" s="11" t="s">
        <v>94</v>
      </c>
      <c r="R22" s="34"/>
      <c r="S22" s="34"/>
      <c r="W22" s="35"/>
      <c r="X22" s="35"/>
      <c r="Z22" s="35"/>
    </row>
    <row r="23" spans="1:33" s="11" customFormat="1">
      <c r="A23" s="93"/>
      <c r="B23" s="52"/>
      <c r="C23" s="90"/>
      <c r="D23" s="10" t="s">
        <v>15</v>
      </c>
      <c r="E23" s="2">
        <f t="shared" si="1"/>
        <v>304786.41100000008</v>
      </c>
      <c r="F23" s="2">
        <f t="shared" si="1"/>
        <v>292576.81099999999</v>
      </c>
      <c r="G23" s="2">
        <f t="shared" ref="G23:N25" si="3">G37+G79+G170+G282</f>
        <v>174407.90000000002</v>
      </c>
      <c r="H23" s="2">
        <f t="shared" si="3"/>
        <v>162198.29999999999</v>
      </c>
      <c r="I23" s="2">
        <f t="shared" si="3"/>
        <v>518.5</v>
      </c>
      <c r="J23" s="2">
        <f t="shared" si="3"/>
        <v>518.5</v>
      </c>
      <c r="K23" s="2">
        <f t="shared" si="3"/>
        <v>99159.361000000004</v>
      </c>
      <c r="L23" s="2">
        <f t="shared" si="3"/>
        <v>99159.361000000004</v>
      </c>
      <c r="M23" s="2">
        <f t="shared" si="3"/>
        <v>30700.65</v>
      </c>
      <c r="N23" s="2">
        <f t="shared" si="3"/>
        <v>30700.65</v>
      </c>
      <c r="O23" s="99"/>
      <c r="P23" s="4"/>
      <c r="Q23" s="35">
        <f>H23-H72-H254-H261-H268-H275</f>
        <v>151542.29999999999</v>
      </c>
      <c r="R23" s="35">
        <v>151542.29999999999</v>
      </c>
      <c r="S23" s="35">
        <f>R23-Q23</f>
        <v>0</v>
      </c>
      <c r="U23" s="35"/>
      <c r="V23" s="35"/>
      <c r="AA23" s="35"/>
      <c r="AB23" s="35"/>
      <c r="AD23" s="35"/>
      <c r="AE23" s="35"/>
      <c r="AF23" s="36"/>
      <c r="AG23" s="36"/>
    </row>
    <row r="24" spans="1:33" s="11" customFormat="1">
      <c r="A24" s="93"/>
      <c r="B24" s="52"/>
      <c r="C24" s="90"/>
      <c r="D24" s="10" t="s">
        <v>16</v>
      </c>
      <c r="E24" s="2">
        <f t="shared" si="1"/>
        <v>299435.96100000001</v>
      </c>
      <c r="F24" s="2">
        <f t="shared" si="1"/>
        <v>181415.52</v>
      </c>
      <c r="G24" s="2">
        <f t="shared" si="3"/>
        <v>173810.5</v>
      </c>
      <c r="H24" s="2">
        <f t="shared" si="3"/>
        <v>152590.41999999998</v>
      </c>
      <c r="I24" s="2">
        <f t="shared" si="3"/>
        <v>0</v>
      </c>
      <c r="J24" s="2">
        <f t="shared" si="3"/>
        <v>0</v>
      </c>
      <c r="K24" s="2">
        <f t="shared" si="3"/>
        <v>99159.361000000004</v>
      </c>
      <c r="L24" s="2">
        <f t="shared" si="3"/>
        <v>2359</v>
      </c>
      <c r="M24" s="2">
        <f t="shared" si="3"/>
        <v>26466.1</v>
      </c>
      <c r="N24" s="2">
        <f t="shared" si="3"/>
        <v>26466.1</v>
      </c>
      <c r="O24" s="99"/>
      <c r="P24" s="4"/>
      <c r="Q24" s="35">
        <f>H24-H283-H73</f>
        <v>152435.41999999998</v>
      </c>
      <c r="R24" s="35">
        <f>R23+3504.9+2486.3+1999.6+2504+161.1</f>
        <v>162198.19999999998</v>
      </c>
      <c r="S24" s="35"/>
      <c r="U24" s="35"/>
      <c r="V24" s="35"/>
      <c r="AA24" s="35"/>
      <c r="AB24" s="35"/>
      <c r="AF24" s="36"/>
    </row>
    <row r="25" spans="1:33" s="11" customFormat="1">
      <c r="A25" s="93"/>
      <c r="B25" s="52"/>
      <c r="C25" s="90"/>
      <c r="D25" s="10" t="s">
        <v>17</v>
      </c>
      <c r="E25" s="2">
        <f t="shared" si="1"/>
        <v>299435.96100000001</v>
      </c>
      <c r="F25" s="2">
        <f t="shared" si="1"/>
        <v>181387.41999999998</v>
      </c>
      <c r="G25" s="2">
        <f t="shared" si="3"/>
        <v>173810.5</v>
      </c>
      <c r="H25" s="2">
        <f t="shared" si="3"/>
        <v>152590.41999999998</v>
      </c>
      <c r="I25" s="2">
        <f t="shared" si="3"/>
        <v>0</v>
      </c>
      <c r="J25" s="2">
        <f t="shared" si="3"/>
        <v>0</v>
      </c>
      <c r="K25" s="2">
        <f t="shared" si="3"/>
        <v>99159.361000000004</v>
      </c>
      <c r="L25" s="2">
        <f t="shared" si="3"/>
        <v>2330.9</v>
      </c>
      <c r="M25" s="2">
        <f t="shared" si="3"/>
        <v>26466.1</v>
      </c>
      <c r="N25" s="2">
        <f t="shared" si="3"/>
        <v>26466.1</v>
      </c>
      <c r="O25" s="99"/>
      <c r="P25" s="4"/>
      <c r="Q25" s="35"/>
      <c r="R25" s="35"/>
      <c r="S25" s="35"/>
      <c r="U25" s="35"/>
      <c r="V25" s="35"/>
      <c r="AA25" s="35"/>
      <c r="AB25" s="35"/>
      <c r="AF25" s="36"/>
    </row>
    <row r="26" spans="1:33" s="11" customFormat="1" ht="13.15" customHeight="1">
      <c r="A26" s="92"/>
      <c r="B26" s="51" t="s">
        <v>103</v>
      </c>
      <c r="C26" s="12"/>
      <c r="D26" s="10" t="s">
        <v>11</v>
      </c>
      <c r="E26" s="2">
        <f t="shared" ref="E26:N26" si="4">SUM(E27:E32)</f>
        <v>1200788.1499999999</v>
      </c>
      <c r="F26" s="2">
        <f t="shared" si="4"/>
        <v>1062435.69</v>
      </c>
      <c r="G26" s="2">
        <f t="shared" si="4"/>
        <v>733045.76000000001</v>
      </c>
      <c r="H26" s="2">
        <f t="shared" si="4"/>
        <v>695596.1</v>
      </c>
      <c r="I26" s="2">
        <f t="shared" si="4"/>
        <v>7627.1</v>
      </c>
      <c r="J26" s="2">
        <f t="shared" si="4"/>
        <v>127.1</v>
      </c>
      <c r="K26" s="2">
        <f t="shared" si="4"/>
        <v>238418.5</v>
      </c>
      <c r="L26" s="2">
        <f t="shared" si="4"/>
        <v>145015.70000000001</v>
      </c>
      <c r="M26" s="2">
        <f t="shared" si="4"/>
        <v>221696.78999999998</v>
      </c>
      <c r="N26" s="2">
        <f t="shared" si="4"/>
        <v>221696.78999999998</v>
      </c>
      <c r="O26" s="100" t="s">
        <v>98</v>
      </c>
      <c r="P26" s="4"/>
      <c r="R26" s="35"/>
      <c r="S26" s="35"/>
      <c r="AA26" s="35"/>
    </row>
    <row r="27" spans="1:33" s="11" customFormat="1" ht="24" customHeight="1">
      <c r="A27" s="93"/>
      <c r="B27" s="52"/>
      <c r="D27" s="10" t="s">
        <v>12</v>
      </c>
      <c r="E27" s="2">
        <f t="shared" ref="E27:F32" si="5">G27+I27+K27+M27</f>
        <v>180341.6</v>
      </c>
      <c r="F27" s="2">
        <f t="shared" si="5"/>
        <v>162018.30000000002</v>
      </c>
      <c r="G27" s="2">
        <f>G104</f>
        <v>116756.20000000001</v>
      </c>
      <c r="H27" s="2">
        <f t="shared" ref="H27:N27" si="6">H104</f>
        <v>104347.90000000001</v>
      </c>
      <c r="I27" s="2">
        <f t="shared" si="6"/>
        <v>2500</v>
      </c>
      <c r="J27" s="2">
        <f t="shared" si="6"/>
        <v>0</v>
      </c>
      <c r="K27" s="2">
        <f t="shared" si="6"/>
        <v>27766.9</v>
      </c>
      <c r="L27" s="2">
        <f t="shared" si="6"/>
        <v>24351.9</v>
      </c>
      <c r="M27" s="2">
        <f t="shared" si="6"/>
        <v>33318.5</v>
      </c>
      <c r="N27" s="2">
        <f t="shared" si="6"/>
        <v>33318.5</v>
      </c>
      <c r="O27" s="100"/>
      <c r="P27" s="33"/>
    </row>
    <row r="28" spans="1:33" s="11" customFormat="1" ht="23.45" customHeight="1">
      <c r="A28" s="93"/>
      <c r="B28" s="52"/>
      <c r="C28" s="90" t="s">
        <v>66</v>
      </c>
      <c r="D28" s="10" t="s">
        <v>13</v>
      </c>
      <c r="E28" s="2">
        <f t="shared" si="5"/>
        <v>181324.74</v>
      </c>
      <c r="F28" s="2">
        <f t="shared" si="5"/>
        <v>173599.8</v>
      </c>
      <c r="G28" s="2">
        <f t="shared" ref="G28:N28" si="7">G105</f>
        <v>111578.54000000001</v>
      </c>
      <c r="H28" s="2">
        <f t="shared" si="7"/>
        <v>109904.6</v>
      </c>
      <c r="I28" s="2">
        <f t="shared" si="7"/>
        <v>2500</v>
      </c>
      <c r="J28" s="2">
        <f t="shared" si="7"/>
        <v>0</v>
      </c>
      <c r="K28" s="2">
        <f t="shared" si="7"/>
        <v>28121.9</v>
      </c>
      <c r="L28" s="2">
        <f t="shared" si="7"/>
        <v>24570.9</v>
      </c>
      <c r="M28" s="2">
        <f t="shared" si="7"/>
        <v>39124.300000000003</v>
      </c>
      <c r="N28" s="2">
        <f t="shared" si="7"/>
        <v>39124.300000000003</v>
      </c>
      <c r="O28" s="100"/>
      <c r="P28" s="4"/>
    </row>
    <row r="29" spans="1:33" s="11" customFormat="1" ht="13.15" customHeight="1">
      <c r="A29" s="93"/>
      <c r="B29" s="52"/>
      <c r="C29" s="90"/>
      <c r="D29" s="10" t="s">
        <v>14</v>
      </c>
      <c r="E29" s="2">
        <f t="shared" si="5"/>
        <v>197720.5</v>
      </c>
      <c r="F29" s="2">
        <f t="shared" si="5"/>
        <v>188559.5</v>
      </c>
      <c r="G29" s="2">
        <f t="shared" ref="G29:N29" si="8">G106</f>
        <v>113801.60000000001</v>
      </c>
      <c r="H29" s="2">
        <f t="shared" si="8"/>
        <v>110275.6</v>
      </c>
      <c r="I29" s="2">
        <f t="shared" si="8"/>
        <v>2500</v>
      </c>
      <c r="J29" s="2">
        <f t="shared" si="8"/>
        <v>0</v>
      </c>
      <c r="K29" s="2">
        <f t="shared" si="8"/>
        <v>40223.799999999996</v>
      </c>
      <c r="L29" s="2">
        <f t="shared" si="8"/>
        <v>37088.799999999996</v>
      </c>
      <c r="M29" s="2">
        <f t="shared" si="8"/>
        <v>41195.1</v>
      </c>
      <c r="N29" s="2">
        <f t="shared" si="8"/>
        <v>41195.1</v>
      </c>
      <c r="O29" s="100"/>
      <c r="P29" s="4"/>
    </row>
    <row r="30" spans="1:33" s="11" customFormat="1" ht="19.149999999999999" customHeight="1">
      <c r="A30" s="93"/>
      <c r="B30" s="52"/>
      <c r="C30" s="90"/>
      <c r="D30" s="10" t="s">
        <v>15</v>
      </c>
      <c r="E30" s="2">
        <f t="shared" si="5"/>
        <v>215554.43000000002</v>
      </c>
      <c r="F30" s="2">
        <f t="shared" si="5"/>
        <v>212203.29</v>
      </c>
      <c r="G30" s="2">
        <f t="shared" ref="G30:N30" si="9">G107</f>
        <v>127114.94</v>
      </c>
      <c r="H30" s="2">
        <f t="shared" si="9"/>
        <v>123763.8</v>
      </c>
      <c r="I30" s="2">
        <f t="shared" si="9"/>
        <v>127.1</v>
      </c>
      <c r="J30" s="2">
        <f t="shared" si="9"/>
        <v>127.1</v>
      </c>
      <c r="K30" s="2">
        <f t="shared" si="9"/>
        <v>47602.1</v>
      </c>
      <c r="L30" s="2">
        <f t="shared" si="9"/>
        <v>47602.1</v>
      </c>
      <c r="M30" s="2">
        <f t="shared" si="9"/>
        <v>40710.29</v>
      </c>
      <c r="N30" s="2">
        <f t="shared" si="9"/>
        <v>40710.29</v>
      </c>
      <c r="O30" s="100"/>
      <c r="P30" s="4"/>
    </row>
    <row r="31" spans="1:33" s="11" customFormat="1" ht="13.15" customHeight="1">
      <c r="A31" s="93"/>
      <c r="B31" s="52"/>
      <c r="C31" s="90"/>
      <c r="D31" s="10" t="s">
        <v>16</v>
      </c>
      <c r="E31" s="2">
        <f t="shared" si="5"/>
        <v>212923.44</v>
      </c>
      <c r="F31" s="2">
        <f t="shared" si="5"/>
        <v>163027.40000000002</v>
      </c>
      <c r="G31" s="2">
        <f t="shared" ref="G31:N31" si="10">G108</f>
        <v>131897.24</v>
      </c>
      <c r="H31" s="2">
        <f t="shared" si="10"/>
        <v>123652.1</v>
      </c>
      <c r="I31" s="2">
        <f t="shared" si="10"/>
        <v>0</v>
      </c>
      <c r="J31" s="2">
        <f t="shared" si="10"/>
        <v>0</v>
      </c>
      <c r="K31" s="2">
        <f t="shared" si="10"/>
        <v>47351.9</v>
      </c>
      <c r="L31" s="2">
        <f t="shared" si="10"/>
        <v>5701</v>
      </c>
      <c r="M31" s="2">
        <f t="shared" si="10"/>
        <v>33674.300000000003</v>
      </c>
      <c r="N31" s="2">
        <f t="shared" si="10"/>
        <v>33674.300000000003</v>
      </c>
      <c r="O31" s="100"/>
      <c r="P31" s="4"/>
    </row>
    <row r="32" spans="1:33" s="11" customFormat="1" ht="13.15" customHeight="1">
      <c r="A32" s="93"/>
      <c r="B32" s="52"/>
      <c r="C32" s="90"/>
      <c r="D32" s="10" t="s">
        <v>17</v>
      </c>
      <c r="E32" s="2">
        <f t="shared" si="5"/>
        <v>212923.44</v>
      </c>
      <c r="F32" s="2">
        <f t="shared" si="5"/>
        <v>163027.40000000002</v>
      </c>
      <c r="G32" s="2">
        <f t="shared" ref="G32:N32" si="11">G109</f>
        <v>131897.24</v>
      </c>
      <c r="H32" s="2">
        <f t="shared" si="11"/>
        <v>123652.1</v>
      </c>
      <c r="I32" s="2">
        <f t="shared" si="11"/>
        <v>0</v>
      </c>
      <c r="J32" s="2">
        <f t="shared" si="11"/>
        <v>0</v>
      </c>
      <c r="K32" s="2">
        <f t="shared" si="11"/>
        <v>47351.9</v>
      </c>
      <c r="L32" s="2">
        <f t="shared" si="11"/>
        <v>5701</v>
      </c>
      <c r="M32" s="2">
        <f t="shared" si="11"/>
        <v>33674.300000000003</v>
      </c>
      <c r="N32" s="2">
        <f t="shared" si="11"/>
        <v>33674.300000000003</v>
      </c>
      <c r="O32" s="100"/>
      <c r="P32" s="4"/>
    </row>
    <row r="33" spans="1:28" s="11" customFormat="1" ht="15.6" customHeight="1">
      <c r="A33" s="68" t="s">
        <v>27</v>
      </c>
      <c r="B33" s="13" t="s">
        <v>48</v>
      </c>
      <c r="D33" s="10" t="s">
        <v>11</v>
      </c>
      <c r="E33" s="2">
        <f t="shared" ref="E33:N33" si="12">SUM(E34:E39)</f>
        <v>621779.57299999997</v>
      </c>
      <c r="F33" s="2">
        <f t="shared" si="12"/>
        <v>477570.19300000003</v>
      </c>
      <c r="G33" s="2">
        <f t="shared" si="12"/>
        <v>387312.18</v>
      </c>
      <c r="H33" s="2">
        <f t="shared" si="12"/>
        <v>345769.7</v>
      </c>
      <c r="I33" s="2">
        <f t="shared" si="12"/>
        <v>1737.8</v>
      </c>
      <c r="J33" s="2">
        <f t="shared" si="12"/>
        <v>0</v>
      </c>
      <c r="K33" s="2">
        <f t="shared" si="12"/>
        <v>224816.64300000001</v>
      </c>
      <c r="L33" s="2">
        <f t="shared" si="12"/>
        <v>123887.54300000001</v>
      </c>
      <c r="M33" s="2">
        <f t="shared" si="12"/>
        <v>7912.9499999999989</v>
      </c>
      <c r="N33" s="2">
        <f t="shared" si="12"/>
        <v>7912.9499999999989</v>
      </c>
      <c r="O33" s="71" t="s">
        <v>98</v>
      </c>
      <c r="P33" s="4"/>
    </row>
    <row r="34" spans="1:28" s="11" customFormat="1" ht="42.75" customHeight="1">
      <c r="A34" s="69"/>
      <c r="B34" s="87" t="s">
        <v>10</v>
      </c>
      <c r="C34" s="10" t="s">
        <v>77</v>
      </c>
      <c r="D34" s="10" t="s">
        <v>12</v>
      </c>
      <c r="E34" s="2">
        <f>G34+I34+K34+M34</f>
        <v>94910.1</v>
      </c>
      <c r="F34" s="2">
        <f t="shared" ref="E34:F38" si="13">H34+J34+L34+N34</f>
        <v>73906</v>
      </c>
      <c r="G34" s="2">
        <f>G41+G48+G62+G69</f>
        <v>71330.3</v>
      </c>
      <c r="H34" s="2">
        <f>H41+H48+H62+H69</f>
        <v>53230.2</v>
      </c>
      <c r="I34" s="2">
        <f t="shared" ref="I34:N39" si="14">I41+I48+I62</f>
        <v>525</v>
      </c>
      <c r="J34" s="2">
        <f t="shared" si="14"/>
        <v>0</v>
      </c>
      <c r="K34" s="2">
        <f t="shared" si="14"/>
        <v>21964.3</v>
      </c>
      <c r="L34" s="2">
        <f t="shared" si="14"/>
        <v>19585.3</v>
      </c>
      <c r="M34" s="2">
        <f t="shared" si="14"/>
        <v>1090.5</v>
      </c>
      <c r="N34" s="2">
        <f t="shared" si="14"/>
        <v>1090.5</v>
      </c>
      <c r="O34" s="72"/>
      <c r="P34" s="33"/>
    </row>
    <row r="35" spans="1:28" s="11" customFormat="1" ht="42" customHeight="1">
      <c r="A35" s="69"/>
      <c r="B35" s="87"/>
      <c r="C35" s="51" t="s">
        <v>76</v>
      </c>
      <c r="D35" s="10" t="s">
        <v>13</v>
      </c>
      <c r="E35" s="2">
        <f t="shared" si="13"/>
        <v>85717.78</v>
      </c>
      <c r="F35" s="2">
        <f t="shared" si="13"/>
        <v>78152.7</v>
      </c>
      <c r="G35" s="2">
        <f>G42+G49+G63+G70</f>
        <v>61778.080000000002</v>
      </c>
      <c r="H35" s="2">
        <f>H42+H63+H70</f>
        <v>56943</v>
      </c>
      <c r="I35" s="2">
        <f t="shared" si="14"/>
        <v>577.5</v>
      </c>
      <c r="J35" s="2">
        <f t="shared" si="14"/>
        <v>0</v>
      </c>
      <c r="K35" s="2">
        <f t="shared" si="14"/>
        <v>21556.5</v>
      </c>
      <c r="L35" s="2">
        <f t="shared" si="14"/>
        <v>19404</v>
      </c>
      <c r="M35" s="2">
        <f t="shared" si="14"/>
        <v>1805.7</v>
      </c>
      <c r="N35" s="2">
        <f t="shared" si="14"/>
        <v>1805.7</v>
      </c>
      <c r="O35" s="72"/>
      <c r="P35" s="4"/>
    </row>
    <row r="36" spans="1:28" s="11" customFormat="1" ht="26.45" customHeight="1">
      <c r="A36" s="69"/>
      <c r="B36" s="87"/>
      <c r="C36" s="52"/>
      <c r="D36" s="10" t="s">
        <v>14</v>
      </c>
      <c r="E36" s="2">
        <f t="shared" si="13"/>
        <v>103715.24300000002</v>
      </c>
      <c r="F36" s="2">
        <f t="shared" si="13"/>
        <v>97697.143000000011</v>
      </c>
      <c r="G36" s="2">
        <f>G43+G50+G64+G71</f>
        <v>63546.3</v>
      </c>
      <c r="H36" s="2">
        <f>H43+H50+H64+H71</f>
        <v>59052.9</v>
      </c>
      <c r="I36" s="2">
        <f t="shared" si="14"/>
        <v>635.29999999999995</v>
      </c>
      <c r="J36" s="2">
        <f t="shared" si="14"/>
        <v>0</v>
      </c>
      <c r="K36" s="2">
        <f t="shared" si="14"/>
        <v>38033.542999999998</v>
      </c>
      <c r="L36" s="2">
        <f t="shared" si="14"/>
        <v>37144.142999999996</v>
      </c>
      <c r="M36" s="2">
        <f t="shared" si="14"/>
        <v>1500.1</v>
      </c>
      <c r="N36" s="2">
        <f t="shared" si="14"/>
        <v>1500.1</v>
      </c>
      <c r="O36" s="72"/>
      <c r="P36" s="4"/>
    </row>
    <row r="37" spans="1:28" s="11" customFormat="1">
      <c r="A37" s="69"/>
      <c r="B37" s="87"/>
      <c r="C37" s="52"/>
      <c r="D37" s="10" t="s">
        <v>15</v>
      </c>
      <c r="E37" s="2">
        <f t="shared" si="13"/>
        <v>112863.25</v>
      </c>
      <c r="F37" s="2">
        <f t="shared" si="13"/>
        <v>108328.34999999999</v>
      </c>
      <c r="G37" s="2">
        <f>G44+G51+G65+G72</f>
        <v>63552.5</v>
      </c>
      <c r="H37" s="2">
        <f>H44+H51+H65+H72</f>
        <v>59017.599999999999</v>
      </c>
      <c r="I37" s="2">
        <f t="shared" si="14"/>
        <v>0</v>
      </c>
      <c r="J37" s="2">
        <f t="shared" si="14"/>
        <v>0</v>
      </c>
      <c r="K37" s="2">
        <f t="shared" si="14"/>
        <v>47754.1</v>
      </c>
      <c r="L37" s="2">
        <f t="shared" si="14"/>
        <v>47754.1</v>
      </c>
      <c r="M37" s="2">
        <f t="shared" si="14"/>
        <v>1556.65</v>
      </c>
      <c r="N37" s="2">
        <f t="shared" si="14"/>
        <v>1556.65</v>
      </c>
      <c r="O37" s="72"/>
      <c r="P37" s="4"/>
      <c r="Q37" s="36">
        <f>H36-155</f>
        <v>58897.9</v>
      </c>
      <c r="AB37" s="35"/>
    </row>
    <row r="38" spans="1:28" s="11" customFormat="1">
      <c r="A38" s="69"/>
      <c r="B38" s="87"/>
      <c r="C38" s="52"/>
      <c r="D38" s="10" t="s">
        <v>16</v>
      </c>
      <c r="E38" s="2">
        <f t="shared" si="13"/>
        <v>112286.6</v>
      </c>
      <c r="F38" s="2">
        <f t="shared" si="13"/>
        <v>59743</v>
      </c>
      <c r="G38" s="2">
        <f>G45+G52+G66+G73</f>
        <v>63552.5</v>
      </c>
      <c r="H38" s="2">
        <f>H45+H52+H66+H73</f>
        <v>58763</v>
      </c>
      <c r="I38" s="2">
        <f t="shared" si="14"/>
        <v>0</v>
      </c>
      <c r="J38" s="2">
        <f t="shared" si="14"/>
        <v>0</v>
      </c>
      <c r="K38" s="2">
        <f t="shared" si="14"/>
        <v>47754.1</v>
      </c>
      <c r="L38" s="2">
        <f t="shared" si="14"/>
        <v>0</v>
      </c>
      <c r="M38" s="2">
        <f t="shared" si="14"/>
        <v>980</v>
      </c>
      <c r="N38" s="2">
        <f t="shared" si="14"/>
        <v>980</v>
      </c>
      <c r="O38" s="72"/>
      <c r="P38" s="4"/>
    </row>
    <row r="39" spans="1:28" s="11" customFormat="1">
      <c r="A39" s="69"/>
      <c r="B39" s="87"/>
      <c r="C39" s="52"/>
      <c r="D39" s="10" t="s">
        <v>17</v>
      </c>
      <c r="E39" s="2">
        <f>G39+I39+K39+M39</f>
        <v>112286.6</v>
      </c>
      <c r="F39" s="2">
        <f>H39+J39+L39+N39</f>
        <v>59743</v>
      </c>
      <c r="G39" s="2">
        <f>G46+G53+G67+G74</f>
        <v>63552.5</v>
      </c>
      <c r="H39" s="2">
        <f>H46+H53+H67+H74</f>
        <v>58763</v>
      </c>
      <c r="I39" s="2">
        <f t="shared" si="14"/>
        <v>0</v>
      </c>
      <c r="J39" s="2">
        <f t="shared" si="14"/>
        <v>0</v>
      </c>
      <c r="K39" s="2">
        <f t="shared" si="14"/>
        <v>47754.1</v>
      </c>
      <c r="L39" s="2">
        <f t="shared" si="14"/>
        <v>0</v>
      </c>
      <c r="M39" s="2">
        <f t="shared" si="14"/>
        <v>980</v>
      </c>
      <c r="N39" s="2">
        <f t="shared" si="14"/>
        <v>980</v>
      </c>
      <c r="O39" s="72"/>
      <c r="P39" s="4"/>
    </row>
    <row r="40" spans="1:28" s="11" customFormat="1" ht="15.6" customHeight="1">
      <c r="A40" s="69"/>
      <c r="B40" s="74" t="s">
        <v>24</v>
      </c>
      <c r="D40" s="1" t="s">
        <v>11</v>
      </c>
      <c r="E40" s="2">
        <f t="shared" ref="E40:N40" si="15">SUM(E41:E46)</f>
        <v>613656.973</v>
      </c>
      <c r="F40" s="2">
        <f t="shared" si="15"/>
        <v>475433.99300000002</v>
      </c>
      <c r="G40" s="3">
        <f t="shared" si="15"/>
        <v>380609.57999999996</v>
      </c>
      <c r="H40" s="3">
        <f t="shared" si="15"/>
        <v>343793.5</v>
      </c>
      <c r="I40" s="3">
        <f t="shared" si="15"/>
        <v>1212.8</v>
      </c>
      <c r="J40" s="3">
        <f t="shared" si="15"/>
        <v>0</v>
      </c>
      <c r="K40" s="3">
        <f t="shared" si="15"/>
        <v>224081.64300000001</v>
      </c>
      <c r="L40" s="3">
        <f t="shared" si="15"/>
        <v>123887.54300000001</v>
      </c>
      <c r="M40" s="3">
        <f t="shared" si="15"/>
        <v>7752.9499999999989</v>
      </c>
      <c r="N40" s="3">
        <f t="shared" si="15"/>
        <v>7752.9499999999989</v>
      </c>
      <c r="O40" s="72"/>
      <c r="P40" s="4"/>
    </row>
    <row r="41" spans="1:28" s="37" customFormat="1" ht="53.25" customHeight="1">
      <c r="A41" s="69"/>
      <c r="B41" s="74"/>
      <c r="C41" s="1" t="s">
        <v>79</v>
      </c>
      <c r="D41" s="1" t="s">
        <v>12</v>
      </c>
      <c r="E41" s="2">
        <f>G41+I41+K41+M41</f>
        <v>91017.1</v>
      </c>
      <c r="F41" s="2">
        <f>H41+J41+L41+N41</f>
        <v>73591</v>
      </c>
      <c r="G41" s="3">
        <f>17212+H41-1400-29.9</f>
        <v>68857.3</v>
      </c>
      <c r="H41" s="3">
        <f>53075.1+0.1</f>
        <v>53075.199999999997</v>
      </c>
      <c r="I41" s="3">
        <v>0</v>
      </c>
      <c r="J41" s="3">
        <v>0</v>
      </c>
      <c r="K41" s="3">
        <f>1644+L41</f>
        <v>21229.3</v>
      </c>
      <c r="L41" s="3">
        <v>19585.3</v>
      </c>
      <c r="M41" s="3">
        <v>930.5</v>
      </c>
      <c r="N41" s="3">
        <f t="shared" ref="N41:N46" si="16">M41</f>
        <v>930.5</v>
      </c>
      <c r="O41" s="72"/>
      <c r="P41" s="4"/>
    </row>
    <row r="42" spans="1:28" ht="54.75" customHeight="1">
      <c r="A42" s="69"/>
      <c r="B42" s="74"/>
      <c r="C42" s="1" t="s">
        <v>78</v>
      </c>
      <c r="D42" s="1" t="s">
        <v>13</v>
      </c>
      <c r="E42" s="2">
        <f t="shared" ref="E42:F45" si="17">G42+I42+K42+M42</f>
        <v>84342.78</v>
      </c>
      <c r="F42" s="2">
        <f t="shared" si="17"/>
        <v>77737.7</v>
      </c>
      <c r="G42" s="3">
        <f>H42+650.58+892.5+250+300+900+552+330</f>
        <v>60403.08</v>
      </c>
      <c r="H42" s="3">
        <f>57048.6-H63-0.1+371.7+11.8+12-656</f>
        <v>56528</v>
      </c>
      <c r="I42" s="3">
        <v>577.5</v>
      </c>
      <c r="J42" s="3">
        <v>0</v>
      </c>
      <c r="K42" s="3">
        <f>1344+L42+808.5</f>
        <v>21556.5</v>
      </c>
      <c r="L42" s="3">
        <f>26596.1-8847.3+1655.2</f>
        <v>19404</v>
      </c>
      <c r="M42" s="3">
        <v>1805.7</v>
      </c>
      <c r="N42" s="3">
        <f t="shared" si="16"/>
        <v>1805.7</v>
      </c>
      <c r="O42" s="72"/>
      <c r="P42" s="4"/>
    </row>
    <row r="43" spans="1:28" ht="26.45" customHeight="1">
      <c r="A43" s="69"/>
      <c r="B43" s="74"/>
      <c r="C43" s="68" t="s">
        <v>96</v>
      </c>
      <c r="D43" s="1" t="s">
        <v>14</v>
      </c>
      <c r="E43" s="2">
        <f t="shared" si="17"/>
        <v>103006.24300000002</v>
      </c>
      <c r="F43" s="2">
        <f t="shared" si="17"/>
        <v>97282.143000000011</v>
      </c>
      <c r="G43" s="3">
        <f>H43+4199.4</f>
        <v>62837.3</v>
      </c>
      <c r="H43" s="3">
        <f>58855.9-H64+42</f>
        <v>58637.9</v>
      </c>
      <c r="I43" s="3">
        <v>635.29999999999995</v>
      </c>
      <c r="J43" s="3">
        <v>0</v>
      </c>
      <c r="K43" s="3">
        <f>L43+889.4</f>
        <v>38033.542999999998</v>
      </c>
      <c r="L43" s="3">
        <f>38311.443-1167.3</f>
        <v>37144.142999999996</v>
      </c>
      <c r="M43" s="3">
        <f>1500.1</f>
        <v>1500.1</v>
      </c>
      <c r="N43" s="3">
        <f t="shared" si="16"/>
        <v>1500.1</v>
      </c>
      <c r="O43" s="72"/>
      <c r="P43" s="4"/>
    </row>
    <row r="44" spans="1:28" ht="21.6" customHeight="1">
      <c r="A44" s="69"/>
      <c r="B44" s="74"/>
      <c r="C44" s="69"/>
      <c r="D44" s="1" t="s">
        <v>15</v>
      </c>
      <c r="E44" s="2">
        <f t="shared" si="17"/>
        <v>112148.04999999999</v>
      </c>
      <c r="F44" s="2">
        <f>H44+J44+L44+N44</f>
        <v>108167.15</v>
      </c>
      <c r="G44" s="3">
        <f>G43</f>
        <v>62837.3</v>
      </c>
      <c r="H44" s="3">
        <f>58771.5+84.9</f>
        <v>58856.4</v>
      </c>
      <c r="I44" s="3">
        <v>0</v>
      </c>
      <c r="J44" s="3">
        <v>0</v>
      </c>
      <c r="K44" s="3">
        <f>L44</f>
        <v>47754.1</v>
      </c>
      <c r="L44" s="3">
        <f>12654.8+13957.8+21141.5</f>
        <v>47754.1</v>
      </c>
      <c r="M44" s="3">
        <v>1556.65</v>
      </c>
      <c r="N44" s="3">
        <f t="shared" si="16"/>
        <v>1556.65</v>
      </c>
      <c r="O44" s="72"/>
      <c r="P44" s="4"/>
    </row>
    <row r="45" spans="1:28" ht="21.6" customHeight="1">
      <c r="A45" s="69"/>
      <c r="B45" s="74"/>
      <c r="C45" s="69"/>
      <c r="D45" s="1" t="s">
        <v>16</v>
      </c>
      <c r="E45" s="2">
        <f t="shared" si="17"/>
        <v>111571.4</v>
      </c>
      <c r="F45" s="2">
        <f t="shared" si="17"/>
        <v>59328</v>
      </c>
      <c r="G45" s="3">
        <f>G44</f>
        <v>62837.3</v>
      </c>
      <c r="H45" s="3">
        <f>58608-H66</f>
        <v>58348</v>
      </c>
      <c r="I45" s="3">
        <v>0</v>
      </c>
      <c r="J45" s="3">
        <v>0</v>
      </c>
      <c r="K45" s="3">
        <f>K44</f>
        <v>47754.1</v>
      </c>
      <c r="L45" s="3">
        <v>0</v>
      </c>
      <c r="M45" s="3">
        <v>980</v>
      </c>
      <c r="N45" s="3">
        <f t="shared" si="16"/>
        <v>980</v>
      </c>
      <c r="O45" s="72"/>
      <c r="P45" s="4"/>
    </row>
    <row r="46" spans="1:28" ht="21.6" customHeight="1">
      <c r="A46" s="69"/>
      <c r="B46" s="74"/>
      <c r="C46" s="69"/>
      <c r="D46" s="1" t="s">
        <v>17</v>
      </c>
      <c r="E46" s="2">
        <f>G46+I46+K46+M46</f>
        <v>111571.4</v>
      </c>
      <c r="F46" s="2">
        <f>H46+J46+L46+N46</f>
        <v>59328</v>
      </c>
      <c r="G46" s="3">
        <f>G45</f>
        <v>62837.3</v>
      </c>
      <c r="H46" s="3">
        <f>H45</f>
        <v>58348</v>
      </c>
      <c r="I46" s="3">
        <v>0</v>
      </c>
      <c r="J46" s="3">
        <v>0</v>
      </c>
      <c r="K46" s="3">
        <f>K45</f>
        <v>47754.1</v>
      </c>
      <c r="L46" s="3">
        <v>0</v>
      </c>
      <c r="M46" s="3">
        <v>980</v>
      </c>
      <c r="N46" s="3">
        <f t="shared" si="16"/>
        <v>980</v>
      </c>
      <c r="O46" s="72"/>
      <c r="P46" s="4"/>
    </row>
    <row r="47" spans="1:28">
      <c r="A47" s="69"/>
      <c r="B47" s="74" t="s">
        <v>25</v>
      </c>
      <c r="C47" s="68"/>
      <c r="D47" s="1" t="s">
        <v>11</v>
      </c>
      <c r="E47" s="2">
        <f>SUM(E48:E53)</f>
        <v>3398</v>
      </c>
      <c r="F47" s="2">
        <f t="shared" ref="F47:L47" si="18">SUM(F48:F53)</f>
        <v>80</v>
      </c>
      <c r="G47" s="3">
        <f t="shared" si="18"/>
        <v>2058</v>
      </c>
      <c r="H47" s="3">
        <f t="shared" si="18"/>
        <v>0</v>
      </c>
      <c r="I47" s="3">
        <f>SUM(I48:I53)</f>
        <v>525</v>
      </c>
      <c r="J47" s="3">
        <f>SUM(J48:J53)</f>
        <v>0</v>
      </c>
      <c r="K47" s="3">
        <f t="shared" si="18"/>
        <v>735</v>
      </c>
      <c r="L47" s="3">
        <f t="shared" si="18"/>
        <v>0</v>
      </c>
      <c r="M47" s="3">
        <f>SUM(M48:M53)</f>
        <v>80</v>
      </c>
      <c r="N47" s="3">
        <f>SUM(N48:N53)</f>
        <v>80</v>
      </c>
      <c r="O47" s="72"/>
      <c r="P47" s="4"/>
    </row>
    <row r="48" spans="1:28" s="28" customFormat="1" ht="24" customHeight="1">
      <c r="A48" s="69"/>
      <c r="B48" s="74"/>
      <c r="C48" s="69"/>
      <c r="D48" s="1" t="s">
        <v>12</v>
      </c>
      <c r="E48" s="2">
        <f>G48+I48+K48+M48</f>
        <v>3398</v>
      </c>
      <c r="F48" s="2">
        <f>H48+J48+L48+N48</f>
        <v>80</v>
      </c>
      <c r="G48" s="3">
        <v>2058</v>
      </c>
      <c r="H48" s="3">
        <v>0</v>
      </c>
      <c r="I48" s="3">
        <v>525</v>
      </c>
      <c r="J48" s="3"/>
      <c r="K48" s="3">
        <f>735</f>
        <v>735</v>
      </c>
      <c r="L48" s="3">
        <v>0</v>
      </c>
      <c r="M48" s="3">
        <v>80</v>
      </c>
      <c r="N48" s="3">
        <f>M48</f>
        <v>80</v>
      </c>
      <c r="O48" s="72"/>
      <c r="P48" s="4"/>
    </row>
    <row r="49" spans="1:28" ht="15.6" customHeight="1">
      <c r="A49" s="69"/>
      <c r="B49" s="74"/>
      <c r="C49" s="69"/>
      <c r="D49" s="1" t="s">
        <v>13</v>
      </c>
      <c r="E49" s="59" t="s">
        <v>58</v>
      </c>
      <c r="F49" s="60"/>
      <c r="G49" s="60"/>
      <c r="H49" s="60"/>
      <c r="I49" s="60"/>
      <c r="J49" s="60"/>
      <c r="K49" s="60"/>
      <c r="L49" s="60"/>
      <c r="M49" s="60"/>
      <c r="N49" s="61"/>
      <c r="O49" s="72"/>
      <c r="P49" s="4"/>
    </row>
    <row r="50" spans="1:28" ht="15.6" hidden="1" customHeight="1">
      <c r="A50" s="69"/>
      <c r="B50" s="74"/>
      <c r="C50" s="14"/>
      <c r="D50" s="1" t="s">
        <v>14</v>
      </c>
      <c r="E50" s="62"/>
      <c r="F50" s="63"/>
      <c r="G50" s="63"/>
      <c r="H50" s="63"/>
      <c r="I50" s="63"/>
      <c r="J50" s="63"/>
      <c r="K50" s="63"/>
      <c r="L50" s="63"/>
      <c r="M50" s="63"/>
      <c r="N50" s="64"/>
      <c r="O50" s="72"/>
      <c r="P50" s="4"/>
    </row>
    <row r="51" spans="1:28" ht="15.6" hidden="1" customHeight="1">
      <c r="A51" s="69"/>
      <c r="B51" s="74"/>
      <c r="C51" s="14"/>
      <c r="D51" s="1" t="s">
        <v>15</v>
      </c>
      <c r="E51" s="62"/>
      <c r="F51" s="63"/>
      <c r="G51" s="63"/>
      <c r="H51" s="63"/>
      <c r="I51" s="63"/>
      <c r="J51" s="63"/>
      <c r="K51" s="63"/>
      <c r="L51" s="63"/>
      <c r="M51" s="63"/>
      <c r="N51" s="64"/>
      <c r="O51" s="72"/>
      <c r="P51" s="4"/>
    </row>
    <row r="52" spans="1:28" ht="15.6" hidden="1" customHeight="1">
      <c r="A52" s="69"/>
      <c r="B52" s="74"/>
      <c r="C52" s="14"/>
      <c r="D52" s="1" t="s">
        <v>16</v>
      </c>
      <c r="E52" s="62"/>
      <c r="F52" s="63"/>
      <c r="G52" s="63"/>
      <c r="H52" s="63"/>
      <c r="I52" s="63"/>
      <c r="J52" s="63"/>
      <c r="K52" s="63"/>
      <c r="L52" s="63"/>
      <c r="M52" s="63"/>
      <c r="N52" s="64"/>
      <c r="O52" s="72"/>
      <c r="P52" s="4"/>
    </row>
    <row r="53" spans="1:28" ht="15.6" hidden="1" customHeight="1">
      <c r="A53" s="69"/>
      <c r="B53" s="74"/>
      <c r="C53" s="14"/>
      <c r="D53" s="1" t="s">
        <v>17</v>
      </c>
      <c r="E53" s="65"/>
      <c r="F53" s="66"/>
      <c r="G53" s="66"/>
      <c r="H53" s="66"/>
      <c r="I53" s="66"/>
      <c r="J53" s="66"/>
      <c r="K53" s="66"/>
      <c r="L53" s="66"/>
      <c r="M53" s="66"/>
      <c r="N53" s="67"/>
      <c r="O53" s="72"/>
      <c r="P53" s="4"/>
    </row>
    <row r="54" spans="1:28" ht="15.6" hidden="1" customHeight="1">
      <c r="A54" s="69"/>
      <c r="B54" s="74" t="s">
        <v>39</v>
      </c>
      <c r="C54" s="14"/>
      <c r="D54" s="1" t="s">
        <v>11</v>
      </c>
      <c r="E54" s="2">
        <f>SUM(E55:E60)</f>
        <v>0</v>
      </c>
      <c r="F54" s="2">
        <f t="shared" ref="F54:N54" si="19">SUM(F55:F60)</f>
        <v>0</v>
      </c>
      <c r="G54" s="3">
        <f t="shared" si="19"/>
        <v>0</v>
      </c>
      <c r="H54" s="3">
        <f t="shared" si="19"/>
        <v>0</v>
      </c>
      <c r="I54" s="3">
        <f t="shared" si="19"/>
        <v>0</v>
      </c>
      <c r="J54" s="3">
        <f t="shared" si="19"/>
        <v>0</v>
      </c>
      <c r="K54" s="3">
        <f t="shared" si="19"/>
        <v>0</v>
      </c>
      <c r="L54" s="3">
        <f t="shared" si="19"/>
        <v>0</v>
      </c>
      <c r="M54" s="3">
        <f t="shared" si="19"/>
        <v>0</v>
      </c>
      <c r="N54" s="3">
        <f t="shared" si="19"/>
        <v>0</v>
      </c>
      <c r="O54" s="72"/>
      <c r="P54" s="4"/>
    </row>
    <row r="55" spans="1:28" s="28" customFormat="1" ht="15.6" hidden="1" customHeight="1">
      <c r="A55" s="69"/>
      <c r="B55" s="74"/>
      <c r="C55" s="14"/>
      <c r="D55" s="1" t="s">
        <v>12</v>
      </c>
      <c r="E55" s="2">
        <f t="shared" ref="E55:F60" si="20">G55+I55+K55+M55</f>
        <v>0</v>
      </c>
      <c r="F55" s="2">
        <f t="shared" si="20"/>
        <v>0</v>
      </c>
      <c r="G55" s="3"/>
      <c r="H55" s="3"/>
      <c r="I55" s="3"/>
      <c r="J55" s="3"/>
      <c r="K55" s="3"/>
      <c r="L55" s="3"/>
      <c r="M55" s="3"/>
      <c r="N55" s="3"/>
      <c r="O55" s="72"/>
      <c r="P55" s="4"/>
    </row>
    <row r="56" spans="1:28" ht="15.6" hidden="1" customHeight="1">
      <c r="A56" s="69"/>
      <c r="B56" s="74"/>
      <c r="C56" s="14"/>
      <c r="D56" s="1" t="s">
        <v>13</v>
      </c>
      <c r="E56" s="2">
        <f t="shared" si="20"/>
        <v>0</v>
      </c>
      <c r="F56" s="2">
        <f t="shared" si="20"/>
        <v>0</v>
      </c>
      <c r="G56" s="3"/>
      <c r="H56" s="3"/>
      <c r="I56" s="3"/>
      <c r="J56" s="3"/>
      <c r="K56" s="3"/>
      <c r="L56" s="3"/>
      <c r="M56" s="3"/>
      <c r="N56" s="3"/>
      <c r="O56" s="72"/>
      <c r="P56" s="4"/>
    </row>
    <row r="57" spans="1:28" ht="15.6" hidden="1" customHeight="1">
      <c r="A57" s="69"/>
      <c r="B57" s="74"/>
      <c r="C57" s="14"/>
      <c r="D57" s="1" t="s">
        <v>14</v>
      </c>
      <c r="E57" s="2">
        <f t="shared" si="20"/>
        <v>0</v>
      </c>
      <c r="F57" s="2">
        <f t="shared" si="20"/>
        <v>0</v>
      </c>
      <c r="G57" s="3"/>
      <c r="H57" s="3"/>
      <c r="I57" s="3"/>
      <c r="J57" s="3"/>
      <c r="K57" s="3"/>
      <c r="L57" s="3"/>
      <c r="M57" s="3"/>
      <c r="N57" s="3"/>
      <c r="O57" s="72"/>
      <c r="P57" s="4"/>
    </row>
    <row r="58" spans="1:28" ht="15.6" hidden="1" customHeight="1">
      <c r="A58" s="69"/>
      <c r="B58" s="74"/>
      <c r="C58" s="14"/>
      <c r="D58" s="1" t="s">
        <v>15</v>
      </c>
      <c r="E58" s="2">
        <f t="shared" si="20"/>
        <v>0</v>
      </c>
      <c r="F58" s="2">
        <f t="shared" si="20"/>
        <v>0</v>
      </c>
      <c r="G58" s="3"/>
      <c r="H58" s="3"/>
      <c r="I58" s="3"/>
      <c r="J58" s="3"/>
      <c r="K58" s="3"/>
      <c r="L58" s="3"/>
      <c r="M58" s="3"/>
      <c r="N58" s="3"/>
      <c r="O58" s="72"/>
      <c r="P58" s="4"/>
    </row>
    <row r="59" spans="1:28" ht="15.6" hidden="1" customHeight="1">
      <c r="A59" s="69"/>
      <c r="B59" s="74"/>
      <c r="C59" s="14"/>
      <c r="D59" s="1" t="s">
        <v>16</v>
      </c>
      <c r="E59" s="2">
        <f t="shared" si="20"/>
        <v>0</v>
      </c>
      <c r="F59" s="2">
        <f t="shared" si="20"/>
        <v>0</v>
      </c>
      <c r="G59" s="3"/>
      <c r="H59" s="3"/>
      <c r="I59" s="3"/>
      <c r="J59" s="3"/>
      <c r="K59" s="3"/>
      <c r="L59" s="3"/>
      <c r="M59" s="3"/>
      <c r="N59" s="3"/>
      <c r="O59" s="72"/>
      <c r="P59" s="4"/>
    </row>
    <row r="60" spans="1:28" ht="15.6" hidden="1" customHeight="1">
      <c r="A60" s="69"/>
      <c r="B60" s="74"/>
      <c r="C60" s="14"/>
      <c r="D60" s="1" t="s">
        <v>17</v>
      </c>
      <c r="E60" s="2">
        <f t="shared" si="20"/>
        <v>0</v>
      </c>
      <c r="F60" s="2">
        <f t="shared" si="20"/>
        <v>0</v>
      </c>
      <c r="G60" s="3"/>
      <c r="H60" s="3"/>
      <c r="I60" s="3"/>
      <c r="J60" s="3"/>
      <c r="K60" s="3"/>
      <c r="L60" s="3"/>
      <c r="M60" s="3"/>
      <c r="N60" s="3"/>
      <c r="O60" s="72"/>
      <c r="P60" s="4"/>
    </row>
    <row r="61" spans="1:28" ht="15.6" customHeight="1">
      <c r="A61" s="69"/>
      <c r="B61" s="80" t="s">
        <v>42</v>
      </c>
      <c r="C61" s="15"/>
      <c r="D61" s="1" t="s">
        <v>11</v>
      </c>
      <c r="E61" s="2">
        <f t="shared" ref="E61:N61" si="21">SUM(E62:E67)</f>
        <v>3776</v>
      </c>
      <c r="F61" s="2">
        <f t="shared" si="21"/>
        <v>1120</v>
      </c>
      <c r="G61" s="2">
        <f t="shared" si="21"/>
        <v>3696</v>
      </c>
      <c r="H61" s="2">
        <f t="shared" si="21"/>
        <v>1040</v>
      </c>
      <c r="I61" s="2">
        <f t="shared" si="21"/>
        <v>0</v>
      </c>
      <c r="J61" s="2">
        <f t="shared" si="21"/>
        <v>0</v>
      </c>
      <c r="K61" s="2">
        <f t="shared" si="21"/>
        <v>0</v>
      </c>
      <c r="L61" s="2">
        <f t="shared" si="21"/>
        <v>0</v>
      </c>
      <c r="M61" s="2">
        <f t="shared" si="21"/>
        <v>80</v>
      </c>
      <c r="N61" s="2">
        <f t="shared" si="21"/>
        <v>80</v>
      </c>
      <c r="O61" s="72"/>
      <c r="P61" s="4"/>
    </row>
    <row r="62" spans="1:28" s="28" customFormat="1">
      <c r="A62" s="69"/>
      <c r="B62" s="81"/>
      <c r="C62" s="14"/>
      <c r="D62" s="1" t="s">
        <v>12</v>
      </c>
      <c r="E62" s="2">
        <f t="shared" ref="E62:F66" si="22">G62+I62+K62+M62</f>
        <v>340</v>
      </c>
      <c r="F62" s="2">
        <f t="shared" si="22"/>
        <v>80</v>
      </c>
      <c r="G62" s="3">
        <v>260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80</v>
      </c>
      <c r="N62" s="3">
        <f>M62</f>
        <v>80</v>
      </c>
      <c r="O62" s="72"/>
      <c r="P62" s="4"/>
    </row>
    <row r="63" spans="1:28">
      <c r="A63" s="69"/>
      <c r="B63" s="81"/>
      <c r="C63" s="98" t="s">
        <v>92</v>
      </c>
      <c r="D63" s="1" t="s">
        <v>13</v>
      </c>
      <c r="E63" s="2">
        <f t="shared" si="22"/>
        <v>1220</v>
      </c>
      <c r="F63" s="2">
        <f t="shared" si="22"/>
        <v>260</v>
      </c>
      <c r="G63" s="3">
        <f>H63+960</f>
        <v>1220</v>
      </c>
      <c r="H63" s="3">
        <v>260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72"/>
      <c r="P63" s="4"/>
      <c r="AB63" s="38"/>
    </row>
    <row r="64" spans="1:28" ht="15.6" customHeight="1">
      <c r="A64" s="69"/>
      <c r="B64" s="81"/>
      <c r="C64" s="98"/>
      <c r="D64" s="1" t="s">
        <v>14</v>
      </c>
      <c r="E64" s="2">
        <f t="shared" si="22"/>
        <v>554</v>
      </c>
      <c r="F64" s="2">
        <f t="shared" si="22"/>
        <v>260</v>
      </c>
      <c r="G64" s="3">
        <f>H64+294</f>
        <v>554</v>
      </c>
      <c r="H64" s="3">
        <v>260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72"/>
      <c r="P64" s="4"/>
    </row>
    <row r="65" spans="1:16">
      <c r="A65" s="69"/>
      <c r="B65" s="81"/>
      <c r="C65" s="98"/>
      <c r="D65" s="1" t="s">
        <v>15</v>
      </c>
      <c r="E65" s="2">
        <f t="shared" si="22"/>
        <v>554</v>
      </c>
      <c r="F65" s="2">
        <f t="shared" si="22"/>
        <v>0</v>
      </c>
      <c r="G65" s="3">
        <f>G64</f>
        <v>554</v>
      </c>
      <c r="H65" s="3">
        <f>260-260</f>
        <v>0</v>
      </c>
      <c r="I65" s="3">
        <v>0</v>
      </c>
      <c r="J65" s="3">
        <v>0</v>
      </c>
      <c r="K65" s="3">
        <v>0</v>
      </c>
      <c r="L65" s="3">
        <v>0</v>
      </c>
      <c r="M65" s="3">
        <f>1.1*M64</f>
        <v>0</v>
      </c>
      <c r="N65" s="3">
        <v>0</v>
      </c>
      <c r="O65" s="72"/>
      <c r="P65" s="4"/>
    </row>
    <row r="66" spans="1:16">
      <c r="A66" s="69"/>
      <c r="B66" s="81"/>
      <c r="C66" s="98"/>
      <c r="D66" s="1" t="s">
        <v>16</v>
      </c>
      <c r="E66" s="2">
        <f t="shared" si="22"/>
        <v>554</v>
      </c>
      <c r="F66" s="2">
        <f t="shared" si="22"/>
        <v>260</v>
      </c>
      <c r="G66" s="3">
        <f>G65</f>
        <v>554</v>
      </c>
      <c r="H66" s="3">
        <v>260</v>
      </c>
      <c r="I66" s="3">
        <v>0</v>
      </c>
      <c r="J66" s="3">
        <v>0</v>
      </c>
      <c r="K66" s="3">
        <v>0</v>
      </c>
      <c r="L66" s="3">
        <v>0</v>
      </c>
      <c r="M66" s="3">
        <f>1.1*M65</f>
        <v>0</v>
      </c>
      <c r="N66" s="3">
        <v>0</v>
      </c>
      <c r="O66" s="72"/>
      <c r="P66" s="4"/>
    </row>
    <row r="67" spans="1:16">
      <c r="A67" s="69"/>
      <c r="B67" s="81"/>
      <c r="C67" s="98"/>
      <c r="D67" s="1" t="s">
        <v>17</v>
      </c>
      <c r="E67" s="2">
        <f>G67+I67+K67+M67</f>
        <v>554</v>
      </c>
      <c r="F67" s="2">
        <f>H67+J67+L67+N67</f>
        <v>260</v>
      </c>
      <c r="G67" s="3">
        <f>G66</f>
        <v>554</v>
      </c>
      <c r="H67" s="3">
        <v>260</v>
      </c>
      <c r="I67" s="3">
        <v>0</v>
      </c>
      <c r="J67" s="3">
        <v>0</v>
      </c>
      <c r="K67" s="3">
        <v>0</v>
      </c>
      <c r="L67" s="3">
        <v>0</v>
      </c>
      <c r="M67" s="3">
        <f>1.1*M66</f>
        <v>0</v>
      </c>
      <c r="N67" s="3">
        <v>0</v>
      </c>
      <c r="O67" s="72"/>
      <c r="P67" s="4"/>
    </row>
    <row r="68" spans="1:16" ht="15.75" customHeight="1">
      <c r="A68" s="69"/>
      <c r="B68" s="80" t="s">
        <v>46</v>
      </c>
      <c r="D68" s="1" t="s">
        <v>11</v>
      </c>
      <c r="E68" s="2">
        <f t="shared" ref="E68:N68" si="23">SUM(E69:E74)</f>
        <v>948.60000000000014</v>
      </c>
      <c r="F68" s="2">
        <f t="shared" si="23"/>
        <v>936.2</v>
      </c>
      <c r="G68" s="2">
        <f t="shared" si="23"/>
        <v>948.60000000000014</v>
      </c>
      <c r="H68" s="2">
        <f t="shared" si="23"/>
        <v>936.2</v>
      </c>
      <c r="I68" s="2">
        <f t="shared" si="23"/>
        <v>0</v>
      </c>
      <c r="J68" s="2">
        <f t="shared" si="23"/>
        <v>0</v>
      </c>
      <c r="K68" s="2">
        <f t="shared" si="23"/>
        <v>0</v>
      </c>
      <c r="L68" s="2">
        <f t="shared" si="23"/>
        <v>0</v>
      </c>
      <c r="M68" s="2">
        <f t="shared" si="23"/>
        <v>0</v>
      </c>
      <c r="N68" s="2">
        <f t="shared" si="23"/>
        <v>0</v>
      </c>
      <c r="O68" s="72"/>
      <c r="P68" s="4"/>
    </row>
    <row r="69" spans="1:16" ht="30.75" customHeight="1">
      <c r="A69" s="69"/>
      <c r="B69" s="81"/>
      <c r="C69" s="17" t="s">
        <v>80</v>
      </c>
      <c r="D69" s="1" t="s">
        <v>12</v>
      </c>
      <c r="E69" s="2">
        <f t="shared" ref="E69:F73" si="24">G69+I69+K69+M69</f>
        <v>155</v>
      </c>
      <c r="F69" s="2">
        <f t="shared" si="24"/>
        <v>155</v>
      </c>
      <c r="G69" s="3">
        <v>155</v>
      </c>
      <c r="H69" s="3">
        <v>155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72"/>
      <c r="P69" s="4"/>
    </row>
    <row r="70" spans="1:16" ht="25.15" customHeight="1">
      <c r="A70" s="69"/>
      <c r="B70" s="81"/>
      <c r="C70" s="95" t="s">
        <v>61</v>
      </c>
      <c r="D70" s="1" t="s">
        <v>13</v>
      </c>
      <c r="E70" s="2">
        <f t="shared" si="24"/>
        <v>155</v>
      </c>
      <c r="F70" s="2">
        <f t="shared" si="24"/>
        <v>155</v>
      </c>
      <c r="G70" s="3">
        <v>155</v>
      </c>
      <c r="H70" s="3">
        <v>155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72"/>
      <c r="P70" s="4"/>
    </row>
    <row r="71" spans="1:16" ht="26.45" customHeight="1">
      <c r="A71" s="69"/>
      <c r="B71" s="81"/>
      <c r="C71" s="70"/>
      <c r="D71" s="1" t="s">
        <v>14</v>
      </c>
      <c r="E71" s="2">
        <f t="shared" si="24"/>
        <v>155</v>
      </c>
      <c r="F71" s="2">
        <f t="shared" si="24"/>
        <v>155</v>
      </c>
      <c r="G71" s="3">
        <v>155</v>
      </c>
      <c r="H71" s="3">
        <v>155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72"/>
      <c r="P71" s="4"/>
    </row>
    <row r="72" spans="1:16">
      <c r="A72" s="69"/>
      <c r="B72" s="81"/>
      <c r="C72" s="70"/>
      <c r="D72" s="1" t="s">
        <v>15</v>
      </c>
      <c r="E72" s="2">
        <f t="shared" si="24"/>
        <v>161.19999999999999</v>
      </c>
      <c r="F72" s="2">
        <f t="shared" si="24"/>
        <v>161.19999999999999</v>
      </c>
      <c r="G72" s="3">
        <f>H72</f>
        <v>161.19999999999999</v>
      </c>
      <c r="H72" s="3">
        <v>161.19999999999999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72"/>
      <c r="P72" s="4"/>
    </row>
    <row r="73" spans="1:16">
      <c r="A73" s="69"/>
      <c r="B73" s="81"/>
      <c r="C73" s="70"/>
      <c r="D73" s="1" t="s">
        <v>16</v>
      </c>
      <c r="E73" s="2">
        <f t="shared" si="24"/>
        <v>161.19999999999999</v>
      </c>
      <c r="F73" s="2">
        <f t="shared" si="24"/>
        <v>155</v>
      </c>
      <c r="G73" s="3">
        <f>G72</f>
        <v>161.19999999999999</v>
      </c>
      <c r="H73" s="3">
        <v>155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72"/>
      <c r="P73" s="4"/>
    </row>
    <row r="74" spans="1:16">
      <c r="A74" s="69"/>
      <c r="B74" s="81"/>
      <c r="C74" s="70"/>
      <c r="D74" s="1" t="s">
        <v>17</v>
      </c>
      <c r="E74" s="2">
        <f>G74+I74+K74+M74</f>
        <v>161.19999999999999</v>
      </c>
      <c r="F74" s="2">
        <f>H74+J74+L74+N74</f>
        <v>155</v>
      </c>
      <c r="G74" s="3">
        <f>G73</f>
        <v>161.19999999999999</v>
      </c>
      <c r="H74" s="3">
        <v>155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72"/>
      <c r="P74" s="4"/>
    </row>
    <row r="75" spans="1:16">
      <c r="A75" s="82" t="s">
        <v>54</v>
      </c>
      <c r="B75" s="13" t="s">
        <v>49</v>
      </c>
      <c r="C75" s="10"/>
      <c r="D75" s="10" t="s">
        <v>11</v>
      </c>
      <c r="E75" s="18">
        <f t="shared" ref="E75:N75" si="25">SUM(E76:E81)</f>
        <v>134121.95300000001</v>
      </c>
      <c r="F75" s="18">
        <f t="shared" si="25"/>
        <v>115998.46099999998</v>
      </c>
      <c r="G75" s="18">
        <f t="shared" si="25"/>
        <v>59325.200000000004</v>
      </c>
      <c r="H75" s="18">
        <f t="shared" si="25"/>
        <v>51004.7</v>
      </c>
      <c r="I75" s="18">
        <f t="shared" si="25"/>
        <v>0</v>
      </c>
      <c r="J75" s="18">
        <f t="shared" si="25"/>
        <v>0</v>
      </c>
      <c r="K75" s="18">
        <f t="shared" si="25"/>
        <v>20569.953000000005</v>
      </c>
      <c r="L75" s="18">
        <f t="shared" si="25"/>
        <v>10766.961000000003</v>
      </c>
      <c r="M75" s="18">
        <f t="shared" si="25"/>
        <v>54226.799999999996</v>
      </c>
      <c r="N75" s="18">
        <f t="shared" si="25"/>
        <v>54226.799999999996</v>
      </c>
      <c r="O75" s="71" t="s">
        <v>98</v>
      </c>
      <c r="P75" s="4"/>
    </row>
    <row r="76" spans="1:16" s="11" customFormat="1" ht="36.75" customHeight="1">
      <c r="A76" s="82"/>
      <c r="B76" s="88" t="s">
        <v>18</v>
      </c>
      <c r="C76" s="10" t="s">
        <v>77</v>
      </c>
      <c r="D76" s="10" t="s">
        <v>12</v>
      </c>
      <c r="E76" s="2">
        <f>G76+I76+K76+M76</f>
        <v>18924</v>
      </c>
      <c r="F76" s="2">
        <f t="shared" ref="E76:F80" si="26">H76+J76+L76+N76</f>
        <v>17923.5</v>
      </c>
      <c r="G76" s="2">
        <f>G83+G90+G97</f>
        <v>8382.7999999999993</v>
      </c>
      <c r="H76" s="2">
        <f>H83+H90+H97</f>
        <v>7582.3</v>
      </c>
      <c r="I76" s="2">
        <f t="shared" ref="I76:N81" si="27">I83+I90</f>
        <v>0</v>
      </c>
      <c r="J76" s="2">
        <f t="shared" si="27"/>
        <v>0</v>
      </c>
      <c r="K76" s="2">
        <f t="shared" si="27"/>
        <v>1841.2</v>
      </c>
      <c r="L76" s="2">
        <f t="shared" si="27"/>
        <v>1641.2</v>
      </c>
      <c r="M76" s="2">
        <f t="shared" si="27"/>
        <v>8700</v>
      </c>
      <c r="N76" s="2">
        <f t="shared" si="27"/>
        <v>8700</v>
      </c>
      <c r="O76" s="72"/>
      <c r="P76" s="4"/>
    </row>
    <row r="77" spans="1:16" s="11" customFormat="1" ht="15.75" customHeight="1">
      <c r="A77" s="82"/>
      <c r="B77" s="89"/>
      <c r="C77" s="51" t="s">
        <v>81</v>
      </c>
      <c r="D77" s="10" t="s">
        <v>13</v>
      </c>
      <c r="E77" s="2">
        <f>G77+I77+K77+M77</f>
        <v>19837</v>
      </c>
      <c r="F77" s="2">
        <f t="shared" si="26"/>
        <v>18611.699999999997</v>
      </c>
      <c r="G77" s="2">
        <f>G84+G91+G98</f>
        <v>9108.7999999999993</v>
      </c>
      <c r="H77" s="2">
        <f>H84+H98</f>
        <v>8083.5</v>
      </c>
      <c r="I77" s="2">
        <f t="shared" si="27"/>
        <v>0</v>
      </c>
      <c r="J77" s="2">
        <f t="shared" si="27"/>
        <v>0</v>
      </c>
      <c r="K77" s="2">
        <f t="shared" si="27"/>
        <v>1652.8999999999999</v>
      </c>
      <c r="L77" s="2">
        <f t="shared" si="27"/>
        <v>1452.8999999999999</v>
      </c>
      <c r="M77" s="2">
        <f t="shared" si="27"/>
        <v>9075.2999999999993</v>
      </c>
      <c r="N77" s="2">
        <f t="shared" si="27"/>
        <v>9075.2999999999993</v>
      </c>
      <c r="O77" s="72"/>
      <c r="P77" s="4"/>
    </row>
    <row r="78" spans="1:16" s="11" customFormat="1" ht="27" customHeight="1">
      <c r="A78" s="82"/>
      <c r="B78" s="89"/>
      <c r="C78" s="52"/>
      <c r="D78" s="10" t="s">
        <v>14</v>
      </c>
      <c r="E78" s="2">
        <f>G78+I78+K78+M78</f>
        <v>22904.720000000001</v>
      </c>
      <c r="F78" s="2">
        <f t="shared" si="26"/>
        <v>22362.42</v>
      </c>
      <c r="G78" s="2">
        <f>G85+G92+G99</f>
        <v>10458.4</v>
      </c>
      <c r="H78" s="2">
        <f>H85+H92+H99</f>
        <v>9916.1</v>
      </c>
      <c r="I78" s="2">
        <f t="shared" si="27"/>
        <v>0</v>
      </c>
      <c r="J78" s="2">
        <f t="shared" si="27"/>
        <v>0</v>
      </c>
      <c r="K78" s="2">
        <f t="shared" si="27"/>
        <v>2868.42</v>
      </c>
      <c r="L78" s="2">
        <f t="shared" si="27"/>
        <v>2868.42</v>
      </c>
      <c r="M78" s="2">
        <f t="shared" si="27"/>
        <v>9577.9</v>
      </c>
      <c r="N78" s="2">
        <f t="shared" si="27"/>
        <v>9577.9</v>
      </c>
      <c r="O78" s="72"/>
      <c r="P78" s="4"/>
    </row>
    <row r="79" spans="1:16" s="11" customFormat="1">
      <c r="A79" s="82"/>
      <c r="B79" s="89"/>
      <c r="C79" s="52"/>
      <c r="D79" s="10" t="s">
        <v>15</v>
      </c>
      <c r="E79" s="2">
        <f>G79+I79+K79+M79</f>
        <v>24607.811000000002</v>
      </c>
      <c r="F79" s="2">
        <f t="shared" si="26"/>
        <v>22991.010999999999</v>
      </c>
      <c r="G79" s="2">
        <f>G86+G93+G100</f>
        <v>10458.4</v>
      </c>
      <c r="H79" s="2">
        <f>H86+H93+H100</f>
        <v>8841.6</v>
      </c>
      <c r="I79" s="2">
        <f t="shared" si="27"/>
        <v>0</v>
      </c>
      <c r="J79" s="2">
        <f t="shared" si="27"/>
        <v>0</v>
      </c>
      <c r="K79" s="2">
        <f t="shared" si="27"/>
        <v>4735.8110000000006</v>
      </c>
      <c r="L79" s="2">
        <f t="shared" si="27"/>
        <v>4735.8110000000006</v>
      </c>
      <c r="M79" s="2">
        <f t="shared" si="27"/>
        <v>9413.6</v>
      </c>
      <c r="N79" s="2">
        <f t="shared" si="27"/>
        <v>9413.6</v>
      </c>
      <c r="O79" s="72"/>
      <c r="P79" s="4"/>
    </row>
    <row r="80" spans="1:16" s="11" customFormat="1">
      <c r="A80" s="82"/>
      <c r="B80" s="89"/>
      <c r="C80" s="52"/>
      <c r="D80" s="10" t="s">
        <v>16</v>
      </c>
      <c r="E80" s="2">
        <f t="shared" si="26"/>
        <v>23924.210999999999</v>
      </c>
      <c r="F80" s="2">
        <f t="shared" si="26"/>
        <v>17055.120000000003</v>
      </c>
      <c r="G80" s="2">
        <f>G87+G94+G101</f>
        <v>10458.4</v>
      </c>
      <c r="H80" s="2">
        <f>H87+H94+H101</f>
        <v>8290.6</v>
      </c>
      <c r="I80" s="2">
        <f t="shared" si="27"/>
        <v>0</v>
      </c>
      <c r="J80" s="2">
        <f t="shared" si="27"/>
        <v>0</v>
      </c>
      <c r="K80" s="2">
        <f t="shared" si="27"/>
        <v>4735.8110000000006</v>
      </c>
      <c r="L80" s="2">
        <f t="shared" si="27"/>
        <v>34.520000000000003</v>
      </c>
      <c r="M80" s="2">
        <f t="shared" si="27"/>
        <v>8730</v>
      </c>
      <c r="N80" s="2">
        <f t="shared" si="27"/>
        <v>8730</v>
      </c>
      <c r="O80" s="72"/>
      <c r="P80" s="4"/>
    </row>
    <row r="81" spans="1:16" s="11" customFormat="1">
      <c r="A81" s="82"/>
      <c r="B81" s="89"/>
      <c r="C81" s="52"/>
      <c r="D81" s="10" t="s">
        <v>17</v>
      </c>
      <c r="E81" s="2">
        <f>G81+I81+K81+M81</f>
        <v>23924.210999999999</v>
      </c>
      <c r="F81" s="2">
        <f>H81+J81+L81+N81</f>
        <v>17054.71</v>
      </c>
      <c r="G81" s="2">
        <f>G88+G95+G102</f>
        <v>10458.4</v>
      </c>
      <c r="H81" s="2">
        <f>H88+H95+H102</f>
        <v>8290.6</v>
      </c>
      <c r="I81" s="2">
        <f t="shared" si="27"/>
        <v>0</v>
      </c>
      <c r="J81" s="2">
        <f t="shared" si="27"/>
        <v>0</v>
      </c>
      <c r="K81" s="2">
        <f t="shared" si="27"/>
        <v>4735.8110000000006</v>
      </c>
      <c r="L81" s="2">
        <f t="shared" si="27"/>
        <v>34.11</v>
      </c>
      <c r="M81" s="2">
        <f t="shared" si="27"/>
        <v>8730</v>
      </c>
      <c r="N81" s="2">
        <f t="shared" si="27"/>
        <v>8730</v>
      </c>
      <c r="O81" s="72"/>
      <c r="P81" s="4"/>
    </row>
    <row r="82" spans="1:16" s="11" customFormat="1">
      <c r="A82" s="82"/>
      <c r="B82" s="74" t="s">
        <v>26</v>
      </c>
      <c r="C82" s="19"/>
      <c r="D82" s="1" t="s">
        <v>11</v>
      </c>
      <c r="E82" s="2">
        <f t="shared" ref="E82:N82" si="28">SUM(E83:E88)</f>
        <v>133901.95300000001</v>
      </c>
      <c r="F82" s="2">
        <f t="shared" si="28"/>
        <v>115998.46099999998</v>
      </c>
      <c r="G82" s="2">
        <f t="shared" si="28"/>
        <v>59105.200000000004</v>
      </c>
      <c r="H82" s="2">
        <f t="shared" si="28"/>
        <v>51004.7</v>
      </c>
      <c r="I82" s="2">
        <f t="shared" si="28"/>
        <v>0</v>
      </c>
      <c r="J82" s="2">
        <f t="shared" si="28"/>
        <v>0</v>
      </c>
      <c r="K82" s="2">
        <f t="shared" si="28"/>
        <v>20569.953000000005</v>
      </c>
      <c r="L82" s="2">
        <f t="shared" si="28"/>
        <v>10766.961000000003</v>
      </c>
      <c r="M82" s="2">
        <f t="shared" si="28"/>
        <v>54226.799999999996</v>
      </c>
      <c r="N82" s="2">
        <f t="shared" si="28"/>
        <v>54226.799999999996</v>
      </c>
      <c r="O82" s="72"/>
      <c r="P82" s="4"/>
    </row>
    <row r="83" spans="1:16" s="28" customFormat="1" ht="57.75" customHeight="1">
      <c r="A83" s="82"/>
      <c r="B83" s="74"/>
      <c r="C83" s="1" t="s">
        <v>83</v>
      </c>
      <c r="D83" s="1" t="s">
        <v>12</v>
      </c>
      <c r="E83" s="2">
        <f t="shared" ref="E83:E88" si="29">G83+I83+K83+M83</f>
        <v>18704</v>
      </c>
      <c r="F83" s="2">
        <f t="shared" ref="F83:F88" si="30">H83+J83+L83+N83</f>
        <v>17923.5</v>
      </c>
      <c r="G83" s="3">
        <f>743.8+H83-163.3</f>
        <v>8162.8</v>
      </c>
      <c r="H83" s="3">
        <v>7582.3</v>
      </c>
      <c r="I83" s="3">
        <v>0</v>
      </c>
      <c r="J83" s="3">
        <v>0</v>
      </c>
      <c r="K83" s="3">
        <f>200+L83</f>
        <v>1841.2</v>
      </c>
      <c r="L83" s="3">
        <v>1641.2</v>
      </c>
      <c r="M83" s="3">
        <v>8700</v>
      </c>
      <c r="N83" s="3">
        <f t="shared" ref="N83:N88" si="31">M83</f>
        <v>8700</v>
      </c>
      <c r="O83" s="72"/>
      <c r="P83" s="4"/>
    </row>
    <row r="84" spans="1:16" ht="53.25" customHeight="1">
      <c r="A84" s="82"/>
      <c r="B84" s="74"/>
      <c r="C84" s="1" t="s">
        <v>82</v>
      </c>
      <c r="D84" s="1" t="s">
        <v>13</v>
      </c>
      <c r="E84" s="2">
        <f t="shared" si="29"/>
        <v>19837</v>
      </c>
      <c r="F84" s="2">
        <f t="shared" si="30"/>
        <v>18611.699999999997</v>
      </c>
      <c r="G84" s="3">
        <f>H84+75.9+193.4+46+230+480</f>
        <v>9108.7999999999993</v>
      </c>
      <c r="H84" s="3">
        <f>8393.5-250+30+30-120</f>
        <v>8083.5</v>
      </c>
      <c r="I84" s="3">
        <v>0</v>
      </c>
      <c r="J84" s="3">
        <v>0</v>
      </c>
      <c r="K84" s="3">
        <f>200+L84</f>
        <v>1652.8999999999999</v>
      </c>
      <c r="L84" s="3">
        <f>3129.6+15-1691.7</f>
        <v>1452.8999999999999</v>
      </c>
      <c r="M84" s="3">
        <f>9075.3-M91</f>
        <v>9075.2999999999993</v>
      </c>
      <c r="N84" s="3">
        <f t="shared" si="31"/>
        <v>9075.2999999999993</v>
      </c>
      <c r="O84" s="72"/>
      <c r="P84" s="4"/>
    </row>
    <row r="85" spans="1:16" ht="30" customHeight="1">
      <c r="A85" s="82"/>
      <c r="B85" s="74"/>
      <c r="C85" s="68" t="s">
        <v>95</v>
      </c>
      <c r="D85" s="1" t="s">
        <v>14</v>
      </c>
      <c r="E85" s="2">
        <f t="shared" si="29"/>
        <v>22904.720000000001</v>
      </c>
      <c r="F85" s="2">
        <f t="shared" si="30"/>
        <v>22362.42</v>
      </c>
      <c r="G85" s="3">
        <f>H85+542.3</f>
        <v>10458.4</v>
      </c>
      <c r="H85" s="3">
        <f>9812.6+103.5</f>
        <v>9916.1</v>
      </c>
      <c r="I85" s="3">
        <v>0</v>
      </c>
      <c r="J85" s="3">
        <v>0</v>
      </c>
      <c r="K85" s="3">
        <f>L85</f>
        <v>2868.42</v>
      </c>
      <c r="L85" s="3">
        <f>2868.42</f>
        <v>2868.42</v>
      </c>
      <c r="M85" s="3">
        <f>9577.9-M92</f>
        <v>9577.9</v>
      </c>
      <c r="N85" s="3">
        <f t="shared" si="31"/>
        <v>9577.9</v>
      </c>
      <c r="O85" s="72"/>
      <c r="P85" s="4"/>
    </row>
    <row r="86" spans="1:16" ht="30" customHeight="1">
      <c r="A86" s="82"/>
      <c r="B86" s="74"/>
      <c r="C86" s="69"/>
      <c r="D86" s="1" t="s">
        <v>15</v>
      </c>
      <c r="E86" s="2">
        <f t="shared" si="29"/>
        <v>24607.811000000002</v>
      </c>
      <c r="F86" s="2">
        <f t="shared" si="30"/>
        <v>22991.010999999999</v>
      </c>
      <c r="G86" s="3">
        <f>G85</f>
        <v>10458.4</v>
      </c>
      <c r="H86" s="3">
        <v>8841.6</v>
      </c>
      <c r="I86" s="3">
        <v>0</v>
      </c>
      <c r="J86" s="3">
        <v>0</v>
      </c>
      <c r="K86" s="3">
        <f>L86</f>
        <v>4735.8110000000006</v>
      </c>
      <c r="L86" s="3">
        <f>4702.747+33.064</f>
        <v>4735.8110000000006</v>
      </c>
      <c r="M86" s="3">
        <f>9413.6</f>
        <v>9413.6</v>
      </c>
      <c r="N86" s="3">
        <f t="shared" si="31"/>
        <v>9413.6</v>
      </c>
      <c r="O86" s="72"/>
      <c r="P86" s="4"/>
    </row>
    <row r="87" spans="1:16" ht="24" customHeight="1">
      <c r="A87" s="82"/>
      <c r="B87" s="74"/>
      <c r="C87" s="69"/>
      <c r="D87" s="1" t="s">
        <v>16</v>
      </c>
      <c r="E87" s="2">
        <f t="shared" si="29"/>
        <v>23924.210999999999</v>
      </c>
      <c r="F87" s="2">
        <f t="shared" si="30"/>
        <v>17055.120000000003</v>
      </c>
      <c r="G87" s="3">
        <f>G86</f>
        <v>10458.4</v>
      </c>
      <c r="H87" s="3">
        <f>8290.6</f>
        <v>8290.6</v>
      </c>
      <c r="I87" s="3">
        <v>0</v>
      </c>
      <c r="J87" s="3">
        <v>0</v>
      </c>
      <c r="K87" s="3">
        <f>K86</f>
        <v>4735.8110000000006</v>
      </c>
      <c r="L87" s="3">
        <v>34.520000000000003</v>
      </c>
      <c r="M87" s="3">
        <f>8730</f>
        <v>8730</v>
      </c>
      <c r="N87" s="3">
        <f t="shared" si="31"/>
        <v>8730</v>
      </c>
      <c r="O87" s="72"/>
      <c r="P87" s="4"/>
    </row>
    <row r="88" spans="1:16" ht="24" customHeight="1">
      <c r="A88" s="82"/>
      <c r="B88" s="74"/>
      <c r="C88" s="69"/>
      <c r="D88" s="1" t="s">
        <v>17</v>
      </c>
      <c r="E88" s="2">
        <f t="shared" si="29"/>
        <v>23924.210999999999</v>
      </c>
      <c r="F88" s="2">
        <f t="shared" si="30"/>
        <v>17054.71</v>
      </c>
      <c r="G88" s="3">
        <f>G87</f>
        <v>10458.4</v>
      </c>
      <c r="H88" s="3">
        <f>H87</f>
        <v>8290.6</v>
      </c>
      <c r="I88" s="3">
        <v>0</v>
      </c>
      <c r="J88" s="3">
        <v>0</v>
      </c>
      <c r="K88" s="3">
        <f>K87</f>
        <v>4735.8110000000006</v>
      </c>
      <c r="L88" s="3">
        <v>34.11</v>
      </c>
      <c r="M88" s="3">
        <f>8730</f>
        <v>8730</v>
      </c>
      <c r="N88" s="3">
        <f t="shared" si="31"/>
        <v>8730</v>
      </c>
      <c r="O88" s="72"/>
      <c r="P88" s="4"/>
    </row>
    <row r="89" spans="1:16" s="11" customFormat="1">
      <c r="A89" s="82"/>
      <c r="B89" s="57" t="s">
        <v>43</v>
      </c>
      <c r="C89" s="68" t="s">
        <v>64</v>
      </c>
      <c r="D89" s="10" t="s">
        <v>11</v>
      </c>
      <c r="E89" s="2">
        <f>SUM(E90:E95)</f>
        <v>220</v>
      </c>
      <c r="F89" s="2">
        <f>SUM(F90:F95)</f>
        <v>0</v>
      </c>
      <c r="G89" s="2">
        <f t="shared" ref="G89:L89" si="32">SUM(G90:G95)</f>
        <v>220</v>
      </c>
      <c r="H89" s="2">
        <f>SUM(H90:H95)</f>
        <v>0</v>
      </c>
      <c r="I89" s="2">
        <f t="shared" si="32"/>
        <v>0</v>
      </c>
      <c r="J89" s="2">
        <f t="shared" si="32"/>
        <v>0</v>
      </c>
      <c r="K89" s="2">
        <f t="shared" si="32"/>
        <v>0</v>
      </c>
      <c r="L89" s="2">
        <f t="shared" si="32"/>
        <v>0</v>
      </c>
      <c r="M89" s="2">
        <f>SUM(M90:M95)</f>
        <v>0</v>
      </c>
      <c r="N89" s="2">
        <f>SUM(N90:N95)</f>
        <v>0</v>
      </c>
      <c r="O89" s="72"/>
      <c r="P89" s="4"/>
    </row>
    <row r="90" spans="1:16" s="37" customFormat="1" ht="88.15" customHeight="1">
      <c r="A90" s="82"/>
      <c r="B90" s="56"/>
      <c r="C90" s="69"/>
      <c r="D90" s="1" t="s">
        <v>12</v>
      </c>
      <c r="E90" s="2">
        <f>G90+I90+K90+M90</f>
        <v>220</v>
      </c>
      <c r="F90" s="2">
        <f>H90+J90+L90+N90</f>
        <v>0</v>
      </c>
      <c r="G90" s="3">
        <v>220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>M90</f>
        <v>0</v>
      </c>
      <c r="O90" s="72"/>
      <c r="P90" s="39"/>
    </row>
    <row r="91" spans="1:16" ht="76.150000000000006" customHeight="1">
      <c r="A91" s="82"/>
      <c r="B91" s="56"/>
      <c r="C91" s="69"/>
      <c r="D91" s="1" t="s">
        <v>13</v>
      </c>
      <c r="E91" s="59" t="s">
        <v>58</v>
      </c>
      <c r="F91" s="60"/>
      <c r="G91" s="60"/>
      <c r="H91" s="60"/>
      <c r="I91" s="60"/>
      <c r="J91" s="60"/>
      <c r="K91" s="60"/>
      <c r="L91" s="60"/>
      <c r="M91" s="60"/>
      <c r="N91" s="61"/>
      <c r="O91" s="72"/>
      <c r="P91" s="4"/>
    </row>
    <row r="92" spans="1:16" hidden="1">
      <c r="A92" s="82"/>
      <c r="B92" s="56"/>
      <c r="C92" s="8"/>
      <c r="D92" s="1" t="s">
        <v>14</v>
      </c>
      <c r="E92" s="62"/>
      <c r="F92" s="63"/>
      <c r="G92" s="63"/>
      <c r="H92" s="63"/>
      <c r="I92" s="63"/>
      <c r="J92" s="63"/>
      <c r="K92" s="63"/>
      <c r="L92" s="63"/>
      <c r="M92" s="63"/>
      <c r="N92" s="64"/>
      <c r="O92" s="72"/>
      <c r="P92" s="4"/>
    </row>
    <row r="93" spans="1:16" hidden="1">
      <c r="A93" s="82"/>
      <c r="B93" s="56"/>
      <c r="C93" s="8"/>
      <c r="D93" s="1" t="s">
        <v>15</v>
      </c>
      <c r="E93" s="62"/>
      <c r="F93" s="63"/>
      <c r="G93" s="63"/>
      <c r="H93" s="63"/>
      <c r="I93" s="63"/>
      <c r="J93" s="63"/>
      <c r="K93" s="63"/>
      <c r="L93" s="63"/>
      <c r="M93" s="63"/>
      <c r="N93" s="64"/>
      <c r="O93" s="72"/>
      <c r="P93" s="4"/>
    </row>
    <row r="94" spans="1:16" hidden="1">
      <c r="A94" s="82"/>
      <c r="B94" s="56"/>
      <c r="C94" s="8"/>
      <c r="D94" s="1" t="s">
        <v>16</v>
      </c>
      <c r="E94" s="62"/>
      <c r="F94" s="63"/>
      <c r="G94" s="63"/>
      <c r="H94" s="63"/>
      <c r="I94" s="63"/>
      <c r="J94" s="63"/>
      <c r="K94" s="63"/>
      <c r="L94" s="63"/>
      <c r="M94" s="63"/>
      <c r="N94" s="64"/>
      <c r="O94" s="72"/>
      <c r="P94" s="4"/>
    </row>
    <row r="95" spans="1:16" hidden="1">
      <c r="A95" s="83"/>
      <c r="B95" s="58"/>
      <c r="C95" s="9"/>
      <c r="D95" s="1" t="s">
        <v>17</v>
      </c>
      <c r="E95" s="65"/>
      <c r="F95" s="66"/>
      <c r="G95" s="66"/>
      <c r="H95" s="66"/>
      <c r="I95" s="66"/>
      <c r="J95" s="66"/>
      <c r="K95" s="66"/>
      <c r="L95" s="66"/>
      <c r="M95" s="66"/>
      <c r="N95" s="67"/>
      <c r="O95" s="73"/>
      <c r="P95" s="4"/>
    </row>
    <row r="96" spans="1:16">
      <c r="A96" s="20"/>
      <c r="B96" s="80" t="s">
        <v>59</v>
      </c>
      <c r="C96" s="95" t="s">
        <v>64</v>
      </c>
      <c r="D96" s="1" t="s">
        <v>11</v>
      </c>
      <c r="E96" s="2">
        <f t="shared" ref="E96:N96" si="33">SUM(E97:E102)</f>
        <v>0</v>
      </c>
      <c r="F96" s="2">
        <f t="shared" si="33"/>
        <v>0</v>
      </c>
      <c r="G96" s="2">
        <f t="shared" si="33"/>
        <v>0</v>
      </c>
      <c r="H96" s="2">
        <f t="shared" si="33"/>
        <v>0</v>
      </c>
      <c r="I96" s="2">
        <f t="shared" si="33"/>
        <v>0</v>
      </c>
      <c r="J96" s="2">
        <f t="shared" si="33"/>
        <v>0</v>
      </c>
      <c r="K96" s="2">
        <f t="shared" si="33"/>
        <v>0</v>
      </c>
      <c r="L96" s="2">
        <f t="shared" si="33"/>
        <v>0</v>
      </c>
      <c r="M96" s="2">
        <f t="shared" si="33"/>
        <v>0</v>
      </c>
      <c r="N96" s="2">
        <f t="shared" si="33"/>
        <v>0</v>
      </c>
      <c r="O96" s="21"/>
      <c r="P96" s="4"/>
    </row>
    <row r="97" spans="1:16" s="28" customFormat="1">
      <c r="A97" s="20"/>
      <c r="B97" s="81"/>
      <c r="C97" s="70"/>
      <c r="D97" s="1" t="s">
        <v>12</v>
      </c>
      <c r="E97" s="2">
        <f t="shared" ref="E97:F102" si="34">G97+I97+K97+M97</f>
        <v>0</v>
      </c>
      <c r="F97" s="2">
        <f t="shared" si="34"/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21"/>
      <c r="P97" s="4"/>
    </row>
    <row r="98" spans="1:16">
      <c r="A98" s="20"/>
      <c r="B98" s="81"/>
      <c r="C98" s="70"/>
      <c r="D98" s="1" t="s">
        <v>13</v>
      </c>
      <c r="E98" s="2">
        <f t="shared" si="34"/>
        <v>0</v>
      </c>
      <c r="F98" s="2">
        <f t="shared" si="34"/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21"/>
      <c r="P98" s="4"/>
    </row>
    <row r="99" spans="1:16">
      <c r="A99" s="20"/>
      <c r="B99" s="81"/>
      <c r="C99" s="70"/>
      <c r="D99" s="1" t="s">
        <v>14</v>
      </c>
      <c r="E99" s="2">
        <f t="shared" si="34"/>
        <v>0</v>
      </c>
      <c r="F99" s="2">
        <f t="shared" si="34"/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21"/>
      <c r="P99" s="4"/>
    </row>
    <row r="100" spans="1:16">
      <c r="A100" s="20"/>
      <c r="B100" s="81"/>
      <c r="C100" s="70"/>
      <c r="D100" s="1" t="s">
        <v>15</v>
      </c>
      <c r="E100" s="2">
        <f t="shared" si="34"/>
        <v>0</v>
      </c>
      <c r="F100" s="2">
        <f t="shared" si="34"/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21"/>
      <c r="P100" s="4"/>
    </row>
    <row r="101" spans="1:16">
      <c r="A101" s="20"/>
      <c r="B101" s="81"/>
      <c r="C101" s="70"/>
      <c r="D101" s="1" t="s">
        <v>16</v>
      </c>
      <c r="E101" s="2">
        <f t="shared" si="34"/>
        <v>0</v>
      </c>
      <c r="F101" s="2">
        <f t="shared" si="34"/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1"/>
      <c r="P101" s="4"/>
    </row>
    <row r="102" spans="1:16">
      <c r="A102" s="20"/>
      <c r="B102" s="81"/>
      <c r="C102" s="70"/>
      <c r="D102" s="1" t="s">
        <v>17</v>
      </c>
      <c r="E102" s="2">
        <f t="shared" si="34"/>
        <v>0</v>
      </c>
      <c r="F102" s="2">
        <f t="shared" si="34"/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21"/>
      <c r="P102" s="4"/>
    </row>
    <row r="103" spans="1:16" ht="18" customHeight="1">
      <c r="A103" s="68" t="s">
        <v>19</v>
      </c>
      <c r="B103" s="13" t="s">
        <v>50</v>
      </c>
      <c r="C103" s="10"/>
      <c r="D103" s="10" t="s">
        <v>11</v>
      </c>
      <c r="E103" s="2">
        <f t="shared" ref="E103:N103" si="35">SUM(E104:E109)</f>
        <v>1200788.1499999999</v>
      </c>
      <c r="F103" s="2">
        <f t="shared" si="35"/>
        <v>1062435.69</v>
      </c>
      <c r="G103" s="2">
        <f t="shared" si="35"/>
        <v>733045.76000000001</v>
      </c>
      <c r="H103" s="2">
        <f t="shared" si="35"/>
        <v>695596.1</v>
      </c>
      <c r="I103" s="2">
        <f t="shared" si="35"/>
        <v>7627.1</v>
      </c>
      <c r="J103" s="2">
        <f t="shared" si="35"/>
        <v>127.1</v>
      </c>
      <c r="K103" s="2">
        <f t="shared" si="35"/>
        <v>238418.5</v>
      </c>
      <c r="L103" s="2">
        <f t="shared" si="35"/>
        <v>145015.70000000001</v>
      </c>
      <c r="M103" s="2">
        <f t="shared" si="35"/>
        <v>221696.78999999998</v>
      </c>
      <c r="N103" s="2">
        <f t="shared" si="35"/>
        <v>221696.78999999998</v>
      </c>
      <c r="O103" s="71" t="s">
        <v>98</v>
      </c>
      <c r="P103" s="4"/>
    </row>
    <row r="104" spans="1:16" s="11" customFormat="1" ht="31.5" customHeight="1">
      <c r="A104" s="69"/>
      <c r="B104" s="87" t="s">
        <v>71</v>
      </c>
      <c r="C104" s="10" t="s">
        <v>84</v>
      </c>
      <c r="D104" s="10" t="s">
        <v>12</v>
      </c>
      <c r="E104" s="2">
        <f>G104+I104+K104+M104</f>
        <v>180341.6</v>
      </c>
      <c r="F104" s="2">
        <f t="shared" ref="E104:F108" si="36">H104+J104+L104+N104</f>
        <v>162018.30000000002</v>
      </c>
      <c r="G104" s="2">
        <f t="shared" ref="G104:N109" si="37">G111+G132+G118+G125+G139+G146+G153+G160</f>
        <v>116756.20000000001</v>
      </c>
      <c r="H104" s="2">
        <f t="shared" si="37"/>
        <v>104347.90000000001</v>
      </c>
      <c r="I104" s="2">
        <f t="shared" si="37"/>
        <v>2500</v>
      </c>
      <c r="J104" s="2">
        <f t="shared" si="37"/>
        <v>0</v>
      </c>
      <c r="K104" s="2">
        <f t="shared" si="37"/>
        <v>27766.9</v>
      </c>
      <c r="L104" s="2">
        <f t="shared" si="37"/>
        <v>24351.9</v>
      </c>
      <c r="M104" s="2">
        <f t="shared" si="37"/>
        <v>33318.5</v>
      </c>
      <c r="N104" s="2">
        <f t="shared" si="37"/>
        <v>33318.5</v>
      </c>
      <c r="O104" s="72"/>
      <c r="P104" s="4"/>
    </row>
    <row r="105" spans="1:16" s="11" customFormat="1" ht="18" customHeight="1">
      <c r="A105" s="69"/>
      <c r="B105" s="87"/>
      <c r="C105" s="52" t="s">
        <v>85</v>
      </c>
      <c r="D105" s="10" t="s">
        <v>13</v>
      </c>
      <c r="E105" s="2">
        <f t="shared" si="36"/>
        <v>181324.74</v>
      </c>
      <c r="F105" s="2">
        <f>H105+J105+L105+N105</f>
        <v>173599.8</v>
      </c>
      <c r="G105" s="2">
        <f t="shared" si="37"/>
        <v>111578.54000000001</v>
      </c>
      <c r="H105" s="2">
        <f t="shared" si="37"/>
        <v>109904.6</v>
      </c>
      <c r="I105" s="2">
        <f t="shared" si="37"/>
        <v>2500</v>
      </c>
      <c r="J105" s="2">
        <f t="shared" si="37"/>
        <v>0</v>
      </c>
      <c r="K105" s="2">
        <f t="shared" si="37"/>
        <v>28121.9</v>
      </c>
      <c r="L105" s="2">
        <f t="shared" si="37"/>
        <v>24570.9</v>
      </c>
      <c r="M105" s="2">
        <f t="shared" si="37"/>
        <v>39124.300000000003</v>
      </c>
      <c r="N105" s="2">
        <f t="shared" si="37"/>
        <v>39124.300000000003</v>
      </c>
      <c r="O105" s="72"/>
      <c r="P105" s="4"/>
    </row>
    <row r="106" spans="1:16" s="11" customFormat="1" ht="18" customHeight="1">
      <c r="A106" s="69"/>
      <c r="B106" s="87"/>
      <c r="C106" s="52"/>
      <c r="D106" s="10" t="s">
        <v>14</v>
      </c>
      <c r="E106" s="2">
        <f t="shared" si="36"/>
        <v>197720.5</v>
      </c>
      <c r="F106" s="2">
        <f t="shared" si="36"/>
        <v>188559.5</v>
      </c>
      <c r="G106" s="2">
        <f t="shared" si="37"/>
        <v>113801.60000000001</v>
      </c>
      <c r="H106" s="2">
        <f t="shared" si="37"/>
        <v>110275.6</v>
      </c>
      <c r="I106" s="2">
        <f t="shared" si="37"/>
        <v>2500</v>
      </c>
      <c r="J106" s="2">
        <f t="shared" si="37"/>
        <v>0</v>
      </c>
      <c r="K106" s="2">
        <f t="shared" si="37"/>
        <v>40223.799999999996</v>
      </c>
      <c r="L106" s="2">
        <f t="shared" si="37"/>
        <v>37088.799999999996</v>
      </c>
      <c r="M106" s="2">
        <f t="shared" si="37"/>
        <v>41195.1</v>
      </c>
      <c r="N106" s="2">
        <f t="shared" si="37"/>
        <v>41195.1</v>
      </c>
      <c r="O106" s="72"/>
      <c r="P106" s="4"/>
    </row>
    <row r="107" spans="1:16" s="11" customFormat="1" ht="18" customHeight="1">
      <c r="A107" s="69"/>
      <c r="B107" s="87"/>
      <c r="C107" s="52"/>
      <c r="D107" s="10" t="s">
        <v>15</v>
      </c>
      <c r="E107" s="2">
        <f t="shared" si="36"/>
        <v>215554.43000000002</v>
      </c>
      <c r="F107" s="2">
        <f t="shared" si="36"/>
        <v>212203.29</v>
      </c>
      <c r="G107" s="2">
        <f t="shared" si="37"/>
        <v>127114.94</v>
      </c>
      <c r="H107" s="2">
        <f t="shared" si="37"/>
        <v>123763.8</v>
      </c>
      <c r="I107" s="2">
        <f t="shared" si="37"/>
        <v>127.1</v>
      </c>
      <c r="J107" s="2">
        <f t="shared" si="37"/>
        <v>127.1</v>
      </c>
      <c r="K107" s="2">
        <f t="shared" si="37"/>
        <v>47602.1</v>
      </c>
      <c r="L107" s="2">
        <f t="shared" si="37"/>
        <v>47602.1</v>
      </c>
      <c r="M107" s="2">
        <f t="shared" si="37"/>
        <v>40710.29</v>
      </c>
      <c r="N107" s="2">
        <f t="shared" si="37"/>
        <v>40710.29</v>
      </c>
      <c r="O107" s="72"/>
      <c r="P107" s="4"/>
    </row>
    <row r="108" spans="1:16" s="11" customFormat="1" ht="18" customHeight="1">
      <c r="A108" s="69"/>
      <c r="B108" s="87"/>
      <c r="C108" s="52"/>
      <c r="D108" s="10" t="s">
        <v>16</v>
      </c>
      <c r="E108" s="2">
        <f t="shared" si="36"/>
        <v>212923.44</v>
      </c>
      <c r="F108" s="2">
        <f t="shared" si="36"/>
        <v>163027.40000000002</v>
      </c>
      <c r="G108" s="2">
        <f t="shared" si="37"/>
        <v>131897.24</v>
      </c>
      <c r="H108" s="2">
        <f t="shared" si="37"/>
        <v>123652.1</v>
      </c>
      <c r="I108" s="2">
        <f t="shared" si="37"/>
        <v>0</v>
      </c>
      <c r="J108" s="2">
        <f t="shared" si="37"/>
        <v>0</v>
      </c>
      <c r="K108" s="2">
        <f t="shared" si="37"/>
        <v>47351.9</v>
      </c>
      <c r="L108" s="2">
        <f t="shared" si="37"/>
        <v>5701</v>
      </c>
      <c r="M108" s="2">
        <f t="shared" si="37"/>
        <v>33674.300000000003</v>
      </c>
      <c r="N108" s="2">
        <f t="shared" si="37"/>
        <v>33674.300000000003</v>
      </c>
      <c r="O108" s="72"/>
      <c r="P108" s="4"/>
    </row>
    <row r="109" spans="1:16" s="11" customFormat="1" ht="18" customHeight="1">
      <c r="A109" s="69"/>
      <c r="B109" s="87"/>
      <c r="C109" s="52"/>
      <c r="D109" s="10" t="s">
        <v>17</v>
      </c>
      <c r="E109" s="2">
        <f>G109+I109+K109+M109</f>
        <v>212923.44</v>
      </c>
      <c r="F109" s="2">
        <f>H109+J109+L109+N109</f>
        <v>163027.40000000002</v>
      </c>
      <c r="G109" s="2">
        <f t="shared" si="37"/>
        <v>131897.24</v>
      </c>
      <c r="H109" s="2">
        <f t="shared" si="37"/>
        <v>123652.1</v>
      </c>
      <c r="I109" s="2">
        <f t="shared" si="37"/>
        <v>0</v>
      </c>
      <c r="J109" s="2">
        <f t="shared" si="37"/>
        <v>0</v>
      </c>
      <c r="K109" s="2">
        <f t="shared" si="37"/>
        <v>47351.9</v>
      </c>
      <c r="L109" s="2">
        <f t="shared" si="37"/>
        <v>5701</v>
      </c>
      <c r="M109" s="2">
        <f t="shared" si="37"/>
        <v>33674.300000000003</v>
      </c>
      <c r="N109" s="2">
        <f t="shared" si="37"/>
        <v>33674.300000000003</v>
      </c>
      <c r="O109" s="72"/>
      <c r="P109" s="4"/>
    </row>
    <row r="110" spans="1:16" s="11" customFormat="1" ht="15" customHeight="1">
      <c r="A110" s="69"/>
      <c r="B110" s="74" t="s">
        <v>72</v>
      </c>
      <c r="C110" s="6"/>
      <c r="D110" s="10" t="s">
        <v>11</v>
      </c>
      <c r="E110" s="2">
        <f t="shared" ref="E110:N110" si="38">SUM(E111:E116)</f>
        <v>1151595.82</v>
      </c>
      <c r="F110" s="2">
        <f t="shared" si="38"/>
        <v>1051337.7600000002</v>
      </c>
      <c r="G110" s="2">
        <f t="shared" si="38"/>
        <v>705173.26</v>
      </c>
      <c r="H110" s="2">
        <f t="shared" si="38"/>
        <v>688633</v>
      </c>
      <c r="I110" s="2">
        <f t="shared" si="38"/>
        <v>127.1</v>
      </c>
      <c r="J110" s="2">
        <f t="shared" si="38"/>
        <v>127.1</v>
      </c>
      <c r="K110" s="2">
        <f t="shared" si="38"/>
        <v>228733.5</v>
      </c>
      <c r="L110" s="2">
        <f t="shared" si="38"/>
        <v>145015.70000000001</v>
      </c>
      <c r="M110" s="2">
        <f t="shared" si="38"/>
        <v>217561.96000000002</v>
      </c>
      <c r="N110" s="2">
        <f t="shared" si="38"/>
        <v>217561.96000000002</v>
      </c>
      <c r="O110" s="72"/>
      <c r="P110" s="4"/>
    </row>
    <row r="111" spans="1:16" s="28" customFormat="1" ht="79.5" customHeight="1">
      <c r="A111" s="69"/>
      <c r="B111" s="74"/>
      <c r="C111" s="1" t="s">
        <v>86</v>
      </c>
      <c r="D111" s="1" t="s">
        <v>12</v>
      </c>
      <c r="E111" s="2">
        <f t="shared" ref="E111:F115" si="39">G111+I111+K111+M111</f>
        <v>164731.80000000002</v>
      </c>
      <c r="F111" s="2">
        <f t="shared" si="39"/>
        <v>160327.90000000002</v>
      </c>
      <c r="G111" s="3">
        <f>7559.8-2100+H111-1400+344.1</f>
        <v>108642.20000000001</v>
      </c>
      <c r="H111" s="3">
        <v>104238.3</v>
      </c>
      <c r="I111" s="3">
        <v>0</v>
      </c>
      <c r="J111" s="3">
        <v>0</v>
      </c>
      <c r="K111" s="3">
        <f>L111</f>
        <v>24351.9</v>
      </c>
      <c r="L111" s="3">
        <v>24351.9</v>
      </c>
      <c r="M111" s="3">
        <v>31737.7</v>
      </c>
      <c r="N111" s="3">
        <f t="shared" ref="N111:N116" si="40">M111</f>
        <v>31737.7</v>
      </c>
      <c r="O111" s="72"/>
      <c r="P111" s="39"/>
    </row>
    <row r="112" spans="1:16" ht="76.5">
      <c r="A112" s="69"/>
      <c r="B112" s="74"/>
      <c r="C112" s="1" t="s">
        <v>87</v>
      </c>
      <c r="D112" s="1" t="s">
        <v>13</v>
      </c>
      <c r="E112" s="2">
        <f>G112+I112+K112+M112</f>
        <v>173705.71</v>
      </c>
      <c r="F112" s="2">
        <f>H112+J112+L112+N112</f>
        <v>171615.77</v>
      </c>
      <c r="G112" s="3">
        <f>H112+487.94+1186</f>
        <v>110218.94</v>
      </c>
      <c r="H112" s="3">
        <f>109545.8-H119-H126-H140-H147-H161+30+700+50-1496.4-1390.5-66+2531.7</f>
        <v>108545</v>
      </c>
      <c r="I112" s="3">
        <v>0</v>
      </c>
      <c r="J112" s="3">
        <v>0</v>
      </c>
      <c r="K112" s="3">
        <f>L112+416</f>
        <v>24986.9</v>
      </c>
      <c r="L112" s="3">
        <f>31823.2-121-7131.3</f>
        <v>24570.9</v>
      </c>
      <c r="M112" s="3">
        <f>39124.3-M133-M119-M126-M140-M147</f>
        <v>38499.870000000003</v>
      </c>
      <c r="N112" s="3">
        <f t="shared" si="40"/>
        <v>38499.870000000003</v>
      </c>
      <c r="O112" s="72"/>
      <c r="P112" s="4"/>
    </row>
    <row r="113" spans="1:16" ht="15.6" customHeight="1">
      <c r="A113" s="69"/>
      <c r="B113" s="74"/>
      <c r="C113" s="55" t="s">
        <v>114</v>
      </c>
      <c r="D113" s="1" t="s">
        <v>14</v>
      </c>
      <c r="E113" s="2">
        <f t="shared" si="39"/>
        <v>190853</v>
      </c>
      <c r="F113" s="2">
        <f t="shared" si="39"/>
        <v>187426</v>
      </c>
      <c r="G113" s="3">
        <f>H113+3427</f>
        <v>113420.7</v>
      </c>
      <c r="H113" s="3">
        <f>110093.1-H120-H127-H162+96.5+86</f>
        <v>109993.7</v>
      </c>
      <c r="I113" s="3">
        <v>0</v>
      </c>
      <c r="J113" s="3">
        <v>0</v>
      </c>
      <c r="K113" s="3">
        <f>L113</f>
        <v>37088.799999999996</v>
      </c>
      <c r="L113" s="3">
        <f>75318.7-36741.8-1488.1</f>
        <v>37088.799999999996</v>
      </c>
      <c r="M113" s="3">
        <f>41195.1-M134-M120-M127-M141-M148</f>
        <v>40343.5</v>
      </c>
      <c r="N113" s="3">
        <f t="shared" si="40"/>
        <v>40343.5</v>
      </c>
      <c r="O113" s="72"/>
      <c r="P113" s="4"/>
    </row>
    <row r="114" spans="1:16" s="50" customFormat="1" ht="29.45" customHeight="1">
      <c r="A114" s="69"/>
      <c r="B114" s="74"/>
      <c r="C114" s="55"/>
      <c r="D114" s="46" t="s">
        <v>15</v>
      </c>
      <c r="E114" s="47">
        <f t="shared" si="39"/>
        <v>208470.43000000002</v>
      </c>
      <c r="F114" s="47">
        <f>H114+J114+L114+N114</f>
        <v>206125.29</v>
      </c>
      <c r="G114" s="48">
        <f>H114+2345.14</f>
        <v>121108.94</v>
      </c>
      <c r="H114" s="48">
        <f>123763.8-H121-H128-H163</f>
        <v>118763.8</v>
      </c>
      <c r="I114" s="48">
        <v>127.1</v>
      </c>
      <c r="J114" s="48">
        <v>127.1</v>
      </c>
      <c r="K114" s="48">
        <f>L114</f>
        <v>47602.1</v>
      </c>
      <c r="L114" s="48">
        <f>47602.1-L121-L128</f>
        <v>47602.1</v>
      </c>
      <c r="M114" s="48">
        <f>40710.29-M121-M128</f>
        <v>39632.29</v>
      </c>
      <c r="N114" s="48">
        <f t="shared" si="40"/>
        <v>39632.29</v>
      </c>
      <c r="O114" s="72"/>
      <c r="P114" s="49"/>
    </row>
    <row r="115" spans="1:16" ht="52.15" customHeight="1">
      <c r="A115" s="69"/>
      <c r="B115" s="74"/>
      <c r="C115" s="55"/>
      <c r="D115" s="1" t="s">
        <v>16</v>
      </c>
      <c r="E115" s="2">
        <f t="shared" si="39"/>
        <v>206917.44</v>
      </c>
      <c r="F115" s="2">
        <f t="shared" si="39"/>
        <v>162921.40000000002</v>
      </c>
      <c r="G115" s="3">
        <f>H115+2345.14</f>
        <v>125891.24</v>
      </c>
      <c r="H115" s="3">
        <f>123652.1-H122-H129-H164</f>
        <v>123546.1</v>
      </c>
      <c r="I115" s="3">
        <v>0</v>
      </c>
      <c r="J115" s="3">
        <v>0</v>
      </c>
      <c r="K115" s="3">
        <v>47351.9</v>
      </c>
      <c r="L115" s="3">
        <v>5701</v>
      </c>
      <c r="M115" s="3">
        <v>33674.300000000003</v>
      </c>
      <c r="N115" s="3">
        <f t="shared" si="40"/>
        <v>33674.300000000003</v>
      </c>
      <c r="O115" s="72"/>
      <c r="P115" s="4"/>
    </row>
    <row r="116" spans="1:16" ht="39" customHeight="1">
      <c r="A116" s="69"/>
      <c r="B116" s="74"/>
      <c r="C116" s="55"/>
      <c r="D116" s="1" t="s">
        <v>17</v>
      </c>
      <c r="E116" s="2">
        <f>G116+I116+K116+M116</f>
        <v>206917.44</v>
      </c>
      <c r="F116" s="2">
        <f>H116+J116+L116+N116</f>
        <v>162921.40000000002</v>
      </c>
      <c r="G116" s="3">
        <f>H116+2345.14</f>
        <v>125891.24</v>
      </c>
      <c r="H116" s="3">
        <f>123652.1-H123-H130-H165</f>
        <v>123546.1</v>
      </c>
      <c r="I116" s="3">
        <v>0</v>
      </c>
      <c r="J116" s="3">
        <v>0</v>
      </c>
      <c r="K116" s="3">
        <v>47351.9</v>
      </c>
      <c r="L116" s="3">
        <v>5701</v>
      </c>
      <c r="M116" s="3">
        <f>M115</f>
        <v>33674.300000000003</v>
      </c>
      <c r="N116" s="3">
        <f t="shared" si="40"/>
        <v>33674.300000000003</v>
      </c>
      <c r="O116" s="72"/>
      <c r="P116" s="4"/>
    </row>
    <row r="117" spans="1:16" s="11" customFormat="1" ht="15.75" customHeight="1">
      <c r="A117" s="69"/>
      <c r="B117" s="74" t="s">
        <v>68</v>
      </c>
      <c r="C117" s="12"/>
      <c r="D117" s="10" t="s">
        <v>11</v>
      </c>
      <c r="E117" s="2">
        <f t="shared" ref="E117:N117" si="41">SUM(E118:E123)</f>
        <v>39179.93</v>
      </c>
      <c r="F117" s="2">
        <f t="shared" si="41"/>
        <v>7757.93</v>
      </c>
      <c r="G117" s="2">
        <f t="shared" si="41"/>
        <v>19896.599999999999</v>
      </c>
      <c r="H117" s="2">
        <f t="shared" si="41"/>
        <v>5279.6</v>
      </c>
      <c r="I117" s="2">
        <f t="shared" si="41"/>
        <v>7500</v>
      </c>
      <c r="J117" s="2">
        <f t="shared" si="41"/>
        <v>0</v>
      </c>
      <c r="K117" s="2">
        <f t="shared" si="41"/>
        <v>9305</v>
      </c>
      <c r="L117" s="2">
        <f t="shared" si="41"/>
        <v>0</v>
      </c>
      <c r="M117" s="2">
        <f t="shared" si="41"/>
        <v>2478.33</v>
      </c>
      <c r="N117" s="2">
        <f t="shared" si="41"/>
        <v>2478.33</v>
      </c>
      <c r="O117" s="72"/>
      <c r="P117" s="4"/>
    </row>
    <row r="118" spans="1:16" s="28" customFormat="1" ht="40.5" customHeight="1">
      <c r="A118" s="69"/>
      <c r="B118" s="74"/>
      <c r="C118" s="1" t="s">
        <v>88</v>
      </c>
      <c r="D118" s="1" t="s">
        <v>12</v>
      </c>
      <c r="E118" s="2">
        <f t="shared" ref="E118:F123" si="42">G118+I118+K118+M118</f>
        <v>10633</v>
      </c>
      <c r="F118" s="2">
        <f t="shared" si="42"/>
        <v>580</v>
      </c>
      <c r="G118" s="3">
        <f>418+4100+H118</f>
        <v>4598</v>
      </c>
      <c r="H118" s="3">
        <v>80</v>
      </c>
      <c r="I118" s="3">
        <v>2500</v>
      </c>
      <c r="J118" s="3">
        <v>0</v>
      </c>
      <c r="K118" s="3">
        <v>3035</v>
      </c>
      <c r="L118" s="3">
        <v>0</v>
      </c>
      <c r="M118" s="3">
        <v>500</v>
      </c>
      <c r="N118" s="3">
        <f>M118</f>
        <v>500</v>
      </c>
      <c r="O118" s="72"/>
      <c r="P118" s="39"/>
    </row>
    <row r="119" spans="1:16" ht="38.25" customHeight="1">
      <c r="A119" s="69"/>
      <c r="B119" s="74"/>
      <c r="C119" s="68" t="s">
        <v>73</v>
      </c>
      <c r="D119" s="1" t="s">
        <v>13</v>
      </c>
      <c r="E119" s="2">
        <f t="shared" si="42"/>
        <v>6202.13</v>
      </c>
      <c r="F119" s="2">
        <f t="shared" si="42"/>
        <v>567.13</v>
      </c>
      <c r="G119" s="3">
        <f>H119</f>
        <v>100</v>
      </c>
      <c r="H119" s="3">
        <v>100</v>
      </c>
      <c r="I119" s="3">
        <v>2500</v>
      </c>
      <c r="J119" s="3">
        <v>0</v>
      </c>
      <c r="K119" s="3">
        <v>3135</v>
      </c>
      <c r="L119" s="3">
        <v>0</v>
      </c>
      <c r="M119" s="3">
        <v>467.13</v>
      </c>
      <c r="N119" s="3">
        <f>M119</f>
        <v>467.13</v>
      </c>
      <c r="O119" s="72"/>
      <c r="P119" s="4"/>
    </row>
    <row r="120" spans="1:16" ht="15.6" customHeight="1">
      <c r="A120" s="69"/>
      <c r="B120" s="74"/>
      <c r="C120" s="69"/>
      <c r="D120" s="1" t="s">
        <v>14</v>
      </c>
      <c r="E120" s="2">
        <f t="shared" si="42"/>
        <v>6474</v>
      </c>
      <c r="F120" s="2">
        <f t="shared" si="42"/>
        <v>740</v>
      </c>
      <c r="G120" s="3">
        <f>H120+99</f>
        <v>198.6</v>
      </c>
      <c r="H120" s="3">
        <v>99.6</v>
      </c>
      <c r="I120" s="3">
        <v>2500</v>
      </c>
      <c r="J120" s="3">
        <v>0</v>
      </c>
      <c r="K120" s="3">
        <v>3135</v>
      </c>
      <c r="L120" s="3">
        <v>0</v>
      </c>
      <c r="M120" s="3">
        <v>640.4</v>
      </c>
      <c r="N120" s="3">
        <f>M120</f>
        <v>640.4</v>
      </c>
      <c r="O120" s="72"/>
      <c r="P120" s="4"/>
    </row>
    <row r="121" spans="1:16" s="50" customFormat="1">
      <c r="A121" s="69"/>
      <c r="B121" s="74"/>
      <c r="C121" s="69"/>
      <c r="D121" s="46" t="s">
        <v>15</v>
      </c>
      <c r="E121" s="47">
        <f t="shared" si="42"/>
        <v>5870.8</v>
      </c>
      <c r="F121" s="47">
        <f t="shared" si="42"/>
        <v>5870.8</v>
      </c>
      <c r="G121" s="48">
        <v>5000</v>
      </c>
      <c r="H121" s="48">
        <v>5000</v>
      </c>
      <c r="I121" s="48">
        <v>0</v>
      </c>
      <c r="J121" s="48">
        <v>0</v>
      </c>
      <c r="K121" s="48">
        <v>0</v>
      </c>
      <c r="L121" s="48">
        <v>0</v>
      </c>
      <c r="M121" s="48">
        <v>870.8</v>
      </c>
      <c r="N121" s="48">
        <v>870.8</v>
      </c>
      <c r="O121" s="72"/>
      <c r="P121" s="49"/>
    </row>
    <row r="122" spans="1:16">
      <c r="A122" s="69"/>
      <c r="B122" s="74"/>
      <c r="C122" s="69"/>
      <c r="D122" s="1" t="s">
        <v>16</v>
      </c>
      <c r="E122" s="2">
        <f t="shared" si="42"/>
        <v>5000</v>
      </c>
      <c r="F122" s="2">
        <f t="shared" si="42"/>
        <v>0</v>
      </c>
      <c r="G122" s="3">
        <v>5000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f>M122</f>
        <v>0</v>
      </c>
      <c r="O122" s="72"/>
      <c r="P122" s="4"/>
    </row>
    <row r="123" spans="1:16">
      <c r="A123" s="69"/>
      <c r="B123" s="74"/>
      <c r="C123" s="69"/>
      <c r="D123" s="1" t="s">
        <v>17</v>
      </c>
      <c r="E123" s="2">
        <f t="shared" si="42"/>
        <v>5000</v>
      </c>
      <c r="F123" s="2">
        <f t="shared" si="42"/>
        <v>0</v>
      </c>
      <c r="G123" s="3">
        <v>5000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72"/>
      <c r="P123" s="4"/>
    </row>
    <row r="124" spans="1:16" ht="15.75" customHeight="1">
      <c r="A124" s="69"/>
      <c r="B124" s="74" t="s">
        <v>69</v>
      </c>
      <c r="C124" s="32"/>
      <c r="D124" s="1" t="s">
        <v>11</v>
      </c>
      <c r="E124" s="2">
        <f t="shared" ref="E124:N124" si="43">SUM(E125:E130)</f>
        <v>4071.6000000000004</v>
      </c>
      <c r="F124" s="2">
        <f t="shared" si="43"/>
        <v>931.59999999999991</v>
      </c>
      <c r="G124" s="2">
        <f t="shared" si="43"/>
        <v>3315.9</v>
      </c>
      <c r="H124" s="2">
        <f t="shared" si="43"/>
        <v>175.89999999999998</v>
      </c>
      <c r="I124" s="2">
        <f t="shared" si="43"/>
        <v>0</v>
      </c>
      <c r="J124" s="2">
        <f t="shared" si="43"/>
        <v>0</v>
      </c>
      <c r="K124" s="2">
        <f t="shared" si="43"/>
        <v>0</v>
      </c>
      <c r="L124" s="2">
        <f t="shared" si="43"/>
        <v>0</v>
      </c>
      <c r="M124" s="2">
        <f t="shared" si="43"/>
        <v>755.7</v>
      </c>
      <c r="N124" s="2">
        <f t="shared" si="43"/>
        <v>755.7</v>
      </c>
      <c r="O124" s="72"/>
      <c r="P124" s="4"/>
    </row>
    <row r="125" spans="1:16" s="28" customFormat="1" ht="43.5" customHeight="1">
      <c r="A125" s="69"/>
      <c r="B125" s="74"/>
      <c r="C125" s="1" t="s">
        <v>88</v>
      </c>
      <c r="D125" s="1" t="s">
        <v>12</v>
      </c>
      <c r="E125" s="2">
        <f t="shared" ref="E125:F130" si="44">G125+I125+K125+M125</f>
        <v>620</v>
      </c>
      <c r="F125" s="2">
        <f t="shared" si="44"/>
        <v>180</v>
      </c>
      <c r="G125" s="3">
        <f>440+H125</f>
        <v>440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180</v>
      </c>
      <c r="N125" s="3">
        <f>M125</f>
        <v>180</v>
      </c>
      <c r="O125" s="72"/>
      <c r="P125" s="39"/>
    </row>
    <row r="126" spans="1:16" ht="15.6" customHeight="1">
      <c r="A126" s="69"/>
      <c r="B126" s="74"/>
      <c r="C126" s="68" t="s">
        <v>74</v>
      </c>
      <c r="D126" s="1" t="s">
        <v>13</v>
      </c>
      <c r="E126" s="2">
        <f t="shared" si="44"/>
        <v>256.89999999999998</v>
      </c>
      <c r="F126" s="2">
        <f t="shared" si="44"/>
        <v>256.89999999999998</v>
      </c>
      <c r="G126" s="3">
        <f>H126</f>
        <v>99.6</v>
      </c>
      <c r="H126" s="3">
        <v>99.6</v>
      </c>
      <c r="I126" s="3">
        <v>0</v>
      </c>
      <c r="J126" s="3">
        <v>0</v>
      </c>
      <c r="K126" s="3">
        <v>0</v>
      </c>
      <c r="L126" s="3">
        <v>0</v>
      </c>
      <c r="M126" s="3">
        <v>157.30000000000001</v>
      </c>
      <c r="N126" s="3">
        <f>M126</f>
        <v>157.30000000000001</v>
      </c>
      <c r="O126" s="72"/>
      <c r="P126" s="4"/>
    </row>
    <row r="127" spans="1:16" ht="15.6" customHeight="1">
      <c r="A127" s="69"/>
      <c r="B127" s="74"/>
      <c r="C127" s="69"/>
      <c r="D127" s="1" t="s">
        <v>14</v>
      </c>
      <c r="E127" s="2">
        <f t="shared" si="44"/>
        <v>287.5</v>
      </c>
      <c r="F127" s="2">
        <f t="shared" si="44"/>
        <v>287.5</v>
      </c>
      <c r="G127" s="3">
        <f>H127</f>
        <v>76.3</v>
      </c>
      <c r="H127" s="3">
        <v>76.3</v>
      </c>
      <c r="I127" s="3">
        <v>0</v>
      </c>
      <c r="J127" s="3">
        <v>0</v>
      </c>
      <c r="K127" s="3">
        <v>0</v>
      </c>
      <c r="L127" s="3">
        <v>0</v>
      </c>
      <c r="M127" s="3">
        <f>N127</f>
        <v>211.2</v>
      </c>
      <c r="N127" s="3">
        <v>211.2</v>
      </c>
      <c r="O127" s="72"/>
      <c r="P127" s="4"/>
    </row>
    <row r="128" spans="1:16">
      <c r="A128" s="69"/>
      <c r="B128" s="74"/>
      <c r="C128" s="69"/>
      <c r="D128" s="1" t="s">
        <v>15</v>
      </c>
      <c r="E128" s="2">
        <f t="shared" si="44"/>
        <v>1107.2</v>
      </c>
      <c r="F128" s="2">
        <f t="shared" si="44"/>
        <v>207.2</v>
      </c>
      <c r="G128" s="3">
        <v>900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207.2</v>
      </c>
      <c r="N128" s="3">
        <v>207.2</v>
      </c>
      <c r="O128" s="72"/>
      <c r="P128" s="4"/>
    </row>
    <row r="129" spans="1:16">
      <c r="A129" s="69"/>
      <c r="B129" s="74"/>
      <c r="C129" s="69"/>
      <c r="D129" s="1" t="s">
        <v>16</v>
      </c>
      <c r="E129" s="2">
        <f t="shared" si="44"/>
        <v>900</v>
      </c>
      <c r="F129" s="2">
        <f t="shared" si="44"/>
        <v>0</v>
      </c>
      <c r="G129" s="3">
        <v>900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f>M129</f>
        <v>0</v>
      </c>
      <c r="O129" s="72"/>
      <c r="P129" s="4"/>
    </row>
    <row r="130" spans="1:16">
      <c r="A130" s="69"/>
      <c r="B130" s="74"/>
      <c r="C130" s="69"/>
      <c r="D130" s="1" t="s">
        <v>17</v>
      </c>
      <c r="E130" s="2">
        <f t="shared" si="44"/>
        <v>900</v>
      </c>
      <c r="F130" s="2">
        <f t="shared" si="44"/>
        <v>0</v>
      </c>
      <c r="G130" s="3">
        <v>900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72"/>
      <c r="P130" s="4"/>
    </row>
    <row r="131" spans="1:16" s="11" customFormat="1">
      <c r="A131" s="69"/>
      <c r="B131" s="74" t="s">
        <v>70</v>
      </c>
      <c r="C131" s="68" t="s">
        <v>64</v>
      </c>
      <c r="D131" s="10" t="s">
        <v>11</v>
      </c>
      <c r="E131" s="2">
        <f t="shared" ref="E131:N131" si="45">SUM(E132:E137)</f>
        <v>2350</v>
      </c>
      <c r="F131" s="2">
        <f t="shared" si="45"/>
        <v>100</v>
      </c>
      <c r="G131" s="2">
        <f t="shared" si="45"/>
        <v>2250</v>
      </c>
      <c r="H131" s="2">
        <f t="shared" si="45"/>
        <v>0</v>
      </c>
      <c r="I131" s="2">
        <f t="shared" si="45"/>
        <v>0</v>
      </c>
      <c r="J131" s="2">
        <f t="shared" si="45"/>
        <v>0</v>
      </c>
      <c r="K131" s="2">
        <f t="shared" si="45"/>
        <v>0</v>
      </c>
      <c r="L131" s="2">
        <f t="shared" si="45"/>
        <v>0</v>
      </c>
      <c r="M131" s="2">
        <f t="shared" si="45"/>
        <v>100</v>
      </c>
      <c r="N131" s="2">
        <f t="shared" si="45"/>
        <v>100</v>
      </c>
      <c r="O131" s="72"/>
      <c r="P131" s="4"/>
    </row>
    <row r="132" spans="1:16" s="28" customFormat="1" ht="55.15" customHeight="1">
      <c r="A132" s="69"/>
      <c r="B132" s="74"/>
      <c r="C132" s="69"/>
      <c r="D132" s="1" t="s">
        <v>12</v>
      </c>
      <c r="E132" s="2">
        <f>G132+I132+K132+M132</f>
        <v>2350</v>
      </c>
      <c r="F132" s="2">
        <f>H132+J132+L132+N132</f>
        <v>100</v>
      </c>
      <c r="G132" s="3">
        <v>2250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</v>
      </c>
      <c r="N132" s="3">
        <f>M132</f>
        <v>100</v>
      </c>
      <c r="O132" s="72"/>
      <c r="P132" s="39"/>
    </row>
    <row r="133" spans="1:16" ht="36" customHeight="1">
      <c r="A133" s="69"/>
      <c r="B133" s="74"/>
      <c r="C133" s="76"/>
      <c r="D133" s="1" t="s">
        <v>13</v>
      </c>
      <c r="E133" s="59" t="s">
        <v>58</v>
      </c>
      <c r="F133" s="60"/>
      <c r="G133" s="60"/>
      <c r="H133" s="60"/>
      <c r="I133" s="60"/>
      <c r="J133" s="60"/>
      <c r="K133" s="60"/>
      <c r="L133" s="60"/>
      <c r="M133" s="60"/>
      <c r="N133" s="61"/>
      <c r="O133" s="72"/>
      <c r="P133" s="4"/>
    </row>
    <row r="134" spans="1:16" hidden="1">
      <c r="A134" s="69"/>
      <c r="B134" s="74"/>
      <c r="C134" s="1"/>
      <c r="D134" s="1" t="s">
        <v>14</v>
      </c>
      <c r="E134" s="62"/>
      <c r="F134" s="63"/>
      <c r="G134" s="63"/>
      <c r="H134" s="63"/>
      <c r="I134" s="63"/>
      <c r="J134" s="63"/>
      <c r="K134" s="63"/>
      <c r="L134" s="63"/>
      <c r="M134" s="63"/>
      <c r="N134" s="64"/>
      <c r="O134" s="72"/>
      <c r="P134" s="4"/>
    </row>
    <row r="135" spans="1:16" hidden="1">
      <c r="A135" s="69"/>
      <c r="B135" s="74"/>
      <c r="C135" s="1"/>
      <c r="D135" s="1" t="s">
        <v>15</v>
      </c>
      <c r="E135" s="62"/>
      <c r="F135" s="63"/>
      <c r="G135" s="63"/>
      <c r="H135" s="63"/>
      <c r="I135" s="63"/>
      <c r="J135" s="63"/>
      <c r="K135" s="63"/>
      <c r="L135" s="63"/>
      <c r="M135" s="63"/>
      <c r="N135" s="64"/>
      <c r="O135" s="72"/>
      <c r="P135" s="4"/>
    </row>
    <row r="136" spans="1:16" hidden="1">
      <c r="A136" s="69"/>
      <c r="B136" s="74"/>
      <c r="C136" s="1"/>
      <c r="D136" s="1" t="s">
        <v>16</v>
      </c>
      <c r="E136" s="62"/>
      <c r="F136" s="63"/>
      <c r="G136" s="63"/>
      <c r="H136" s="63"/>
      <c r="I136" s="63"/>
      <c r="J136" s="63"/>
      <c r="K136" s="63"/>
      <c r="L136" s="63"/>
      <c r="M136" s="63"/>
      <c r="N136" s="64"/>
      <c r="O136" s="72"/>
      <c r="P136" s="4"/>
    </row>
    <row r="137" spans="1:16" hidden="1">
      <c r="A137" s="69"/>
      <c r="B137" s="74"/>
      <c r="C137" s="1"/>
      <c r="D137" s="1" t="s">
        <v>17</v>
      </c>
      <c r="E137" s="65"/>
      <c r="F137" s="66"/>
      <c r="G137" s="66"/>
      <c r="H137" s="66"/>
      <c r="I137" s="66"/>
      <c r="J137" s="66"/>
      <c r="K137" s="66"/>
      <c r="L137" s="66"/>
      <c r="M137" s="66"/>
      <c r="N137" s="67"/>
      <c r="O137" s="72"/>
      <c r="P137" s="4"/>
    </row>
    <row r="138" spans="1:16" s="11" customFormat="1">
      <c r="A138" s="69"/>
      <c r="B138" s="74" t="s">
        <v>41</v>
      </c>
      <c r="C138" s="68" t="s">
        <v>64</v>
      </c>
      <c r="D138" s="10" t="s">
        <v>11</v>
      </c>
      <c r="E138" s="2">
        <f>SUM(E139:E144)</f>
        <v>511.8</v>
      </c>
      <c r="F138" s="2">
        <f t="shared" ref="F138:N138" si="46">SUM(F139:F144)</f>
        <v>141.4</v>
      </c>
      <c r="G138" s="2">
        <f t="shared" si="46"/>
        <v>220</v>
      </c>
      <c r="H138" s="2">
        <f t="shared" si="46"/>
        <v>29.6</v>
      </c>
      <c r="I138" s="2">
        <f t="shared" si="46"/>
        <v>0</v>
      </c>
      <c r="J138" s="2">
        <f t="shared" si="46"/>
        <v>0</v>
      </c>
      <c r="K138" s="2">
        <f t="shared" si="46"/>
        <v>180</v>
      </c>
      <c r="L138" s="2">
        <f t="shared" si="46"/>
        <v>0</v>
      </c>
      <c r="M138" s="2">
        <f t="shared" si="46"/>
        <v>111.8</v>
      </c>
      <c r="N138" s="2">
        <f t="shared" si="46"/>
        <v>111.8</v>
      </c>
      <c r="O138" s="72"/>
      <c r="P138" s="4"/>
    </row>
    <row r="139" spans="1:16" s="28" customFormat="1" ht="57" customHeight="1">
      <c r="A139" s="69"/>
      <c r="B139" s="74"/>
      <c r="C139" s="69"/>
      <c r="D139" s="1" t="s">
        <v>12</v>
      </c>
      <c r="E139" s="2">
        <f>G139+I139+K139+M139</f>
        <v>511.8</v>
      </c>
      <c r="F139" s="2">
        <f>H139+J139+L139+N139</f>
        <v>141.4</v>
      </c>
      <c r="G139" s="3">
        <v>220</v>
      </c>
      <c r="H139" s="3">
        <v>29.6</v>
      </c>
      <c r="I139" s="3">
        <v>0</v>
      </c>
      <c r="J139" s="3">
        <v>0</v>
      </c>
      <c r="K139" s="3">
        <v>180</v>
      </c>
      <c r="L139" s="3">
        <v>0</v>
      </c>
      <c r="M139" s="3">
        <v>111.8</v>
      </c>
      <c r="N139" s="3">
        <f>M139</f>
        <v>111.8</v>
      </c>
      <c r="O139" s="72"/>
      <c r="P139" s="39"/>
    </row>
    <row r="140" spans="1:16" ht="71.45" customHeight="1">
      <c r="A140" s="69"/>
      <c r="B140" s="74"/>
      <c r="C140" s="76"/>
      <c r="D140" s="1" t="s">
        <v>13</v>
      </c>
      <c r="E140" s="59" t="s">
        <v>58</v>
      </c>
      <c r="F140" s="60"/>
      <c r="G140" s="60"/>
      <c r="H140" s="60"/>
      <c r="I140" s="60"/>
      <c r="J140" s="60"/>
      <c r="K140" s="60"/>
      <c r="L140" s="60"/>
      <c r="M140" s="60"/>
      <c r="N140" s="61"/>
      <c r="O140" s="72"/>
      <c r="P140" s="4"/>
    </row>
    <row r="141" spans="1:16" hidden="1">
      <c r="A141" s="69"/>
      <c r="B141" s="74"/>
      <c r="C141" s="1"/>
      <c r="D141" s="1" t="s">
        <v>14</v>
      </c>
      <c r="E141" s="62"/>
      <c r="F141" s="63"/>
      <c r="G141" s="63"/>
      <c r="H141" s="63"/>
      <c r="I141" s="63"/>
      <c r="J141" s="63"/>
      <c r="K141" s="63"/>
      <c r="L141" s="63"/>
      <c r="M141" s="63"/>
      <c r="N141" s="64"/>
      <c r="O141" s="72"/>
      <c r="P141" s="4"/>
    </row>
    <row r="142" spans="1:16" hidden="1">
      <c r="A142" s="69"/>
      <c r="B142" s="74"/>
      <c r="C142" s="1"/>
      <c r="D142" s="1" t="s">
        <v>15</v>
      </c>
      <c r="E142" s="62"/>
      <c r="F142" s="63"/>
      <c r="G142" s="63"/>
      <c r="H142" s="63"/>
      <c r="I142" s="63"/>
      <c r="J142" s="63"/>
      <c r="K142" s="63"/>
      <c r="L142" s="63"/>
      <c r="M142" s="63"/>
      <c r="N142" s="64"/>
      <c r="O142" s="72"/>
      <c r="P142" s="4"/>
    </row>
    <row r="143" spans="1:16" hidden="1">
      <c r="A143" s="69"/>
      <c r="B143" s="74"/>
      <c r="C143" s="1"/>
      <c r="D143" s="1" t="s">
        <v>16</v>
      </c>
      <c r="E143" s="62"/>
      <c r="F143" s="63"/>
      <c r="G143" s="63"/>
      <c r="H143" s="63"/>
      <c r="I143" s="63"/>
      <c r="J143" s="63"/>
      <c r="K143" s="63"/>
      <c r="L143" s="63"/>
      <c r="M143" s="63"/>
      <c r="N143" s="64"/>
      <c r="O143" s="72"/>
      <c r="P143" s="4"/>
    </row>
    <row r="144" spans="1:16" hidden="1">
      <c r="A144" s="69"/>
      <c r="B144" s="74"/>
      <c r="C144" s="1"/>
      <c r="D144" s="1" t="s">
        <v>17</v>
      </c>
      <c r="E144" s="65"/>
      <c r="F144" s="66"/>
      <c r="G144" s="66"/>
      <c r="H144" s="66"/>
      <c r="I144" s="66"/>
      <c r="J144" s="66"/>
      <c r="K144" s="66"/>
      <c r="L144" s="66"/>
      <c r="M144" s="66"/>
      <c r="N144" s="67"/>
      <c r="O144" s="72"/>
      <c r="P144" s="4"/>
    </row>
    <row r="145" spans="1:16" s="11" customFormat="1">
      <c r="A145" s="69"/>
      <c r="B145" s="74" t="s">
        <v>44</v>
      </c>
      <c r="C145" s="68" t="s">
        <v>64</v>
      </c>
      <c r="D145" s="10" t="s">
        <v>11</v>
      </c>
      <c r="E145" s="2">
        <f>SUM(E146:E151)</f>
        <v>1300</v>
      </c>
      <c r="F145" s="2">
        <f t="shared" ref="F145:N145" si="47">SUM(F146:F151)</f>
        <v>600</v>
      </c>
      <c r="G145" s="2">
        <f t="shared" si="47"/>
        <v>500</v>
      </c>
      <c r="H145" s="2">
        <f t="shared" si="47"/>
        <v>0</v>
      </c>
      <c r="I145" s="2">
        <f t="shared" si="47"/>
        <v>0</v>
      </c>
      <c r="J145" s="2">
        <f t="shared" si="47"/>
        <v>0</v>
      </c>
      <c r="K145" s="2">
        <f t="shared" si="47"/>
        <v>200</v>
      </c>
      <c r="L145" s="2">
        <f t="shared" si="47"/>
        <v>0</v>
      </c>
      <c r="M145" s="2">
        <f>SUM(M146:M151)</f>
        <v>600</v>
      </c>
      <c r="N145" s="2">
        <f t="shared" si="47"/>
        <v>600</v>
      </c>
      <c r="O145" s="72"/>
      <c r="P145" s="4"/>
    </row>
    <row r="146" spans="1:16" s="28" customFormat="1" ht="48" customHeight="1">
      <c r="A146" s="69"/>
      <c r="B146" s="74"/>
      <c r="C146" s="69"/>
      <c r="D146" s="1" t="s">
        <v>12</v>
      </c>
      <c r="E146" s="2">
        <f>G146+I146+K146+M146</f>
        <v>1300</v>
      </c>
      <c r="F146" s="2">
        <f>H146+J146+L146+N146</f>
        <v>600</v>
      </c>
      <c r="G146" s="3">
        <f>500+H146</f>
        <v>500</v>
      </c>
      <c r="H146" s="3">
        <v>0</v>
      </c>
      <c r="I146" s="3">
        <v>0</v>
      </c>
      <c r="J146" s="3">
        <v>0</v>
      </c>
      <c r="K146" s="3">
        <v>200</v>
      </c>
      <c r="L146" s="3">
        <v>0</v>
      </c>
      <c r="M146" s="3">
        <v>600</v>
      </c>
      <c r="N146" s="3">
        <f>M146</f>
        <v>600</v>
      </c>
      <c r="O146" s="72"/>
      <c r="P146" s="39"/>
    </row>
    <row r="147" spans="1:16" ht="93.6" customHeight="1">
      <c r="A147" s="69"/>
      <c r="B147" s="74"/>
      <c r="C147" s="76"/>
      <c r="D147" s="1" t="s">
        <v>13</v>
      </c>
      <c r="E147" s="59" t="s">
        <v>58</v>
      </c>
      <c r="F147" s="60"/>
      <c r="G147" s="60"/>
      <c r="H147" s="60"/>
      <c r="I147" s="60"/>
      <c r="J147" s="60"/>
      <c r="K147" s="60"/>
      <c r="L147" s="60"/>
      <c r="M147" s="60"/>
      <c r="N147" s="61"/>
      <c r="O147" s="72"/>
      <c r="P147" s="4"/>
    </row>
    <row r="148" spans="1:16" hidden="1">
      <c r="A148" s="69"/>
      <c r="B148" s="74"/>
      <c r="C148" s="1"/>
      <c r="D148" s="1" t="s">
        <v>14</v>
      </c>
      <c r="E148" s="62"/>
      <c r="F148" s="63"/>
      <c r="G148" s="63"/>
      <c r="H148" s="63"/>
      <c r="I148" s="63"/>
      <c r="J148" s="63"/>
      <c r="K148" s="63"/>
      <c r="L148" s="63"/>
      <c r="M148" s="63"/>
      <c r="N148" s="64"/>
      <c r="O148" s="72"/>
      <c r="P148" s="4"/>
    </row>
    <row r="149" spans="1:16" hidden="1">
      <c r="A149" s="69"/>
      <c r="B149" s="74"/>
      <c r="C149" s="1"/>
      <c r="D149" s="1" t="s">
        <v>15</v>
      </c>
      <c r="E149" s="62"/>
      <c r="F149" s="63"/>
      <c r="G149" s="63"/>
      <c r="H149" s="63"/>
      <c r="I149" s="63"/>
      <c r="J149" s="63"/>
      <c r="K149" s="63"/>
      <c r="L149" s="63"/>
      <c r="M149" s="63"/>
      <c r="N149" s="64"/>
      <c r="O149" s="72"/>
      <c r="P149" s="4"/>
    </row>
    <row r="150" spans="1:16" hidden="1">
      <c r="A150" s="69"/>
      <c r="B150" s="74"/>
      <c r="C150" s="1"/>
      <c r="D150" s="1" t="s">
        <v>16</v>
      </c>
      <c r="E150" s="62"/>
      <c r="F150" s="63"/>
      <c r="G150" s="63"/>
      <c r="H150" s="63"/>
      <c r="I150" s="63"/>
      <c r="J150" s="63"/>
      <c r="K150" s="63"/>
      <c r="L150" s="63"/>
      <c r="M150" s="63"/>
      <c r="N150" s="64"/>
      <c r="O150" s="72"/>
      <c r="P150" s="4"/>
    </row>
    <row r="151" spans="1:16" hidden="1">
      <c r="A151" s="69"/>
      <c r="B151" s="74"/>
      <c r="C151" s="1"/>
      <c r="D151" s="1" t="s">
        <v>17</v>
      </c>
      <c r="E151" s="65"/>
      <c r="F151" s="66"/>
      <c r="G151" s="66"/>
      <c r="H151" s="66"/>
      <c r="I151" s="66"/>
      <c r="J151" s="66"/>
      <c r="K151" s="66"/>
      <c r="L151" s="66"/>
      <c r="M151" s="66"/>
      <c r="N151" s="67"/>
      <c r="O151" s="72"/>
      <c r="P151" s="4"/>
    </row>
    <row r="152" spans="1:16" hidden="1">
      <c r="A152" s="69"/>
      <c r="B152" s="74" t="s">
        <v>28</v>
      </c>
      <c r="C152" s="1"/>
      <c r="D152" s="1" t="s">
        <v>11</v>
      </c>
      <c r="E152" s="2">
        <f>SUM(E153:E158)</f>
        <v>0</v>
      </c>
      <c r="F152" s="2">
        <f t="shared" ref="F152:N152" si="48">SUM(F153:F158)</f>
        <v>0</v>
      </c>
      <c r="G152" s="3">
        <f t="shared" si="48"/>
        <v>0</v>
      </c>
      <c r="H152" s="3">
        <f t="shared" si="48"/>
        <v>0</v>
      </c>
      <c r="I152" s="3">
        <f t="shared" si="48"/>
        <v>0</v>
      </c>
      <c r="J152" s="3">
        <f t="shared" si="48"/>
        <v>0</v>
      </c>
      <c r="K152" s="3">
        <f t="shared" si="48"/>
        <v>0</v>
      </c>
      <c r="L152" s="3">
        <f t="shared" si="48"/>
        <v>0</v>
      </c>
      <c r="M152" s="3">
        <f t="shared" si="48"/>
        <v>0</v>
      </c>
      <c r="N152" s="3">
        <f t="shared" si="48"/>
        <v>0</v>
      </c>
      <c r="O152" s="72"/>
      <c r="P152" s="4"/>
    </row>
    <row r="153" spans="1:16" s="37" customFormat="1" hidden="1">
      <c r="A153" s="69"/>
      <c r="B153" s="74"/>
      <c r="C153" s="1"/>
      <c r="D153" s="1" t="s">
        <v>12</v>
      </c>
      <c r="E153" s="2">
        <f t="shared" ref="E153:F158" si="49">G153+I153+K153+M153</f>
        <v>0</v>
      </c>
      <c r="F153" s="2">
        <f t="shared" si="49"/>
        <v>0</v>
      </c>
      <c r="G153" s="3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f t="shared" ref="M153:M158" si="50">N153</f>
        <v>0</v>
      </c>
      <c r="N153" s="3">
        <v>0</v>
      </c>
      <c r="O153" s="72"/>
      <c r="P153" s="39"/>
    </row>
    <row r="154" spans="1:16" s="40" customFormat="1" hidden="1">
      <c r="A154" s="69"/>
      <c r="B154" s="74"/>
      <c r="C154" s="1"/>
      <c r="D154" s="1" t="s">
        <v>13</v>
      </c>
      <c r="E154" s="2">
        <f t="shared" si="49"/>
        <v>0</v>
      </c>
      <c r="F154" s="2">
        <f t="shared" si="49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f t="shared" si="50"/>
        <v>0</v>
      </c>
      <c r="N154" s="3">
        <v>0</v>
      </c>
      <c r="O154" s="72"/>
      <c r="P154" s="4"/>
    </row>
    <row r="155" spans="1:16" s="40" customFormat="1" hidden="1">
      <c r="A155" s="69"/>
      <c r="B155" s="74"/>
      <c r="C155" s="1"/>
      <c r="D155" s="1" t="s">
        <v>14</v>
      </c>
      <c r="E155" s="2">
        <f t="shared" si="49"/>
        <v>0</v>
      </c>
      <c r="F155" s="2">
        <f t="shared" si="49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f t="shared" si="50"/>
        <v>0</v>
      </c>
      <c r="N155" s="3">
        <v>0</v>
      </c>
      <c r="O155" s="72"/>
      <c r="P155" s="4"/>
    </row>
    <row r="156" spans="1:16" s="40" customFormat="1" hidden="1">
      <c r="A156" s="69"/>
      <c r="B156" s="74"/>
      <c r="C156" s="1"/>
      <c r="D156" s="1" t="s">
        <v>15</v>
      </c>
      <c r="E156" s="2">
        <f t="shared" si="49"/>
        <v>0</v>
      </c>
      <c r="F156" s="2">
        <f t="shared" si="49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f t="shared" si="50"/>
        <v>0</v>
      </c>
      <c r="N156" s="3">
        <v>0</v>
      </c>
      <c r="O156" s="72"/>
      <c r="P156" s="4"/>
    </row>
    <row r="157" spans="1:16" s="40" customFormat="1" hidden="1">
      <c r="A157" s="69"/>
      <c r="B157" s="74"/>
      <c r="C157" s="1"/>
      <c r="D157" s="1" t="s">
        <v>16</v>
      </c>
      <c r="E157" s="2">
        <f t="shared" si="49"/>
        <v>0</v>
      </c>
      <c r="F157" s="2">
        <f t="shared" si="49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f t="shared" si="50"/>
        <v>0</v>
      </c>
      <c r="N157" s="3">
        <v>0</v>
      </c>
      <c r="O157" s="72"/>
      <c r="P157" s="4"/>
    </row>
    <row r="158" spans="1:16" s="40" customFormat="1" hidden="1">
      <c r="A158" s="69"/>
      <c r="B158" s="74"/>
      <c r="C158" s="1"/>
      <c r="D158" s="1" t="s">
        <v>17</v>
      </c>
      <c r="E158" s="2">
        <f t="shared" si="49"/>
        <v>0</v>
      </c>
      <c r="F158" s="2">
        <f t="shared" si="49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f t="shared" si="50"/>
        <v>0</v>
      </c>
      <c r="N158" s="3">
        <v>0</v>
      </c>
      <c r="O158" s="72"/>
      <c r="P158" s="4"/>
    </row>
    <row r="159" spans="1:16" s="41" customFormat="1">
      <c r="A159" s="69"/>
      <c r="B159" s="75" t="s">
        <v>38</v>
      </c>
      <c r="C159" s="22"/>
      <c r="D159" s="10" t="s">
        <v>11</v>
      </c>
      <c r="E159" s="2">
        <f t="shared" ref="E159:N159" si="51">SUM(E160:E165)</f>
        <v>1779</v>
      </c>
      <c r="F159" s="2">
        <f t="shared" si="51"/>
        <v>1567</v>
      </c>
      <c r="G159" s="2">
        <f t="shared" si="51"/>
        <v>1690</v>
      </c>
      <c r="H159" s="2">
        <f t="shared" si="51"/>
        <v>1478</v>
      </c>
      <c r="I159" s="2">
        <f t="shared" si="51"/>
        <v>0</v>
      </c>
      <c r="J159" s="2">
        <f t="shared" si="51"/>
        <v>0</v>
      </c>
      <c r="K159" s="2">
        <f t="shared" si="51"/>
        <v>0</v>
      </c>
      <c r="L159" s="2">
        <f t="shared" si="51"/>
        <v>0</v>
      </c>
      <c r="M159" s="2">
        <f t="shared" si="51"/>
        <v>89</v>
      </c>
      <c r="N159" s="2">
        <f t="shared" si="51"/>
        <v>89</v>
      </c>
      <c r="O159" s="72"/>
      <c r="P159" s="4"/>
    </row>
    <row r="160" spans="1:16" s="28" customFormat="1" ht="25.5">
      <c r="A160" s="69"/>
      <c r="B160" s="75"/>
      <c r="C160" s="1" t="s">
        <v>89</v>
      </c>
      <c r="D160" s="1" t="s">
        <v>12</v>
      </c>
      <c r="E160" s="2">
        <f t="shared" ref="E160:F164" si="52">G160+I160+K160+M160</f>
        <v>195</v>
      </c>
      <c r="F160" s="2">
        <f t="shared" si="52"/>
        <v>89</v>
      </c>
      <c r="G160" s="3">
        <v>106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89</v>
      </c>
      <c r="N160" s="3">
        <f>M160</f>
        <v>89</v>
      </c>
      <c r="O160" s="72"/>
      <c r="P160" s="39"/>
    </row>
    <row r="161" spans="1:24" ht="15.6" customHeight="1">
      <c r="A161" s="69"/>
      <c r="B161" s="75"/>
      <c r="C161" s="68" t="s">
        <v>65</v>
      </c>
      <c r="D161" s="1" t="s">
        <v>13</v>
      </c>
      <c r="E161" s="2">
        <f t="shared" si="52"/>
        <v>1160</v>
      </c>
      <c r="F161" s="2">
        <f t="shared" si="52"/>
        <v>1160</v>
      </c>
      <c r="G161" s="3">
        <f>H161</f>
        <v>1160</v>
      </c>
      <c r="H161" s="3">
        <f>666+560-66</f>
        <v>1160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72"/>
      <c r="P161" s="4"/>
    </row>
    <row r="162" spans="1:24" ht="15.6" customHeight="1">
      <c r="A162" s="69"/>
      <c r="B162" s="75"/>
      <c r="C162" s="69"/>
      <c r="D162" s="1" t="s">
        <v>14</v>
      </c>
      <c r="E162" s="2">
        <f t="shared" si="52"/>
        <v>106</v>
      </c>
      <c r="F162" s="2">
        <f t="shared" si="52"/>
        <v>106</v>
      </c>
      <c r="G162" s="3">
        <f>H162</f>
        <v>106</v>
      </c>
      <c r="H162" s="3">
        <v>106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72"/>
      <c r="P162" s="4"/>
    </row>
    <row r="163" spans="1:24">
      <c r="A163" s="69"/>
      <c r="B163" s="75"/>
      <c r="C163" s="69"/>
      <c r="D163" s="1" t="s">
        <v>15</v>
      </c>
      <c r="E163" s="2">
        <f t="shared" si="52"/>
        <v>106</v>
      </c>
      <c r="F163" s="2">
        <f t="shared" si="52"/>
        <v>0</v>
      </c>
      <c r="G163" s="3">
        <v>106</v>
      </c>
      <c r="H163" s="3">
        <f>106-106</f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72"/>
      <c r="P163" s="4"/>
    </row>
    <row r="164" spans="1:24">
      <c r="A164" s="69"/>
      <c r="B164" s="75"/>
      <c r="C164" s="69"/>
      <c r="D164" s="1" t="s">
        <v>16</v>
      </c>
      <c r="E164" s="2">
        <f t="shared" si="52"/>
        <v>106</v>
      </c>
      <c r="F164" s="2">
        <f t="shared" si="52"/>
        <v>106</v>
      </c>
      <c r="G164" s="3">
        <v>106</v>
      </c>
      <c r="H164" s="3">
        <v>106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72"/>
      <c r="P164" s="4"/>
    </row>
    <row r="165" spans="1:24">
      <c r="A165" s="69"/>
      <c r="B165" s="75"/>
      <c r="C165" s="69"/>
      <c r="D165" s="1" t="s">
        <v>17</v>
      </c>
      <c r="E165" s="2">
        <f>G165+I165+K165+M165</f>
        <v>106</v>
      </c>
      <c r="F165" s="2">
        <f>H165+J165+L165+N165</f>
        <v>106</v>
      </c>
      <c r="G165" s="3">
        <v>106</v>
      </c>
      <c r="H165" s="3">
        <v>106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72"/>
      <c r="P165" s="4"/>
    </row>
    <row r="166" spans="1:24" ht="15.6" customHeight="1">
      <c r="A166" s="51" t="s">
        <v>20</v>
      </c>
      <c r="B166" s="13" t="s">
        <v>51</v>
      </c>
      <c r="C166" s="10"/>
      <c r="D166" s="10" t="s">
        <v>11</v>
      </c>
      <c r="E166" s="2">
        <f t="shared" ref="E166:N166" si="53">SUM(E167:E172)</f>
        <v>903461.05299999996</v>
      </c>
      <c r="F166" s="2">
        <f t="shared" si="53"/>
        <v>758770.73299999989</v>
      </c>
      <c r="G166" s="2">
        <f t="shared" si="53"/>
        <v>566443.2699999999</v>
      </c>
      <c r="H166" s="2">
        <f t="shared" si="53"/>
        <v>512410.57999999996</v>
      </c>
      <c r="I166" s="2">
        <f t="shared" si="53"/>
        <v>938.5</v>
      </c>
      <c r="J166" s="2">
        <f t="shared" si="53"/>
        <v>518.5</v>
      </c>
      <c r="K166" s="2">
        <f t="shared" si="53"/>
        <v>207723.18300000002</v>
      </c>
      <c r="L166" s="2">
        <f t="shared" si="53"/>
        <v>117485.55299999999</v>
      </c>
      <c r="M166" s="2">
        <f t="shared" si="53"/>
        <v>128356.1</v>
      </c>
      <c r="N166" s="2">
        <f t="shared" si="53"/>
        <v>128356.1</v>
      </c>
      <c r="O166" s="54" t="s">
        <v>98</v>
      </c>
      <c r="P166" s="4"/>
    </row>
    <row r="167" spans="1:24" s="11" customFormat="1" ht="35.25" customHeight="1">
      <c r="A167" s="52"/>
      <c r="B167" s="87" t="s">
        <v>21</v>
      </c>
      <c r="C167" s="10" t="s">
        <v>77</v>
      </c>
      <c r="D167" s="10" t="s">
        <v>12</v>
      </c>
      <c r="E167" s="2">
        <f t="shared" ref="E167:F171" si="54">G167+I167+K167+M167</f>
        <v>129321.4</v>
      </c>
      <c r="F167" s="2">
        <f t="shared" si="54"/>
        <v>115482.7</v>
      </c>
      <c r="G167" s="2">
        <f t="shared" ref="G167:L167" si="55">G174+G181+G188+G195+G202+G209+G216++G223+G230+G237+G244</f>
        <v>90603.7</v>
      </c>
      <c r="H167" s="2">
        <f t="shared" si="55"/>
        <v>77665</v>
      </c>
      <c r="I167" s="2">
        <f t="shared" si="55"/>
        <v>200</v>
      </c>
      <c r="J167" s="2">
        <f t="shared" si="55"/>
        <v>0</v>
      </c>
      <c r="K167" s="2">
        <f t="shared" si="55"/>
        <v>18264.5</v>
      </c>
      <c r="L167" s="2">
        <f t="shared" si="55"/>
        <v>17564.5</v>
      </c>
      <c r="M167" s="2">
        <f>M174+M181+M188+M195+M202+M209+M216+M223+M230+M237+M244</f>
        <v>20253.199999999997</v>
      </c>
      <c r="N167" s="2">
        <f>N174+N181+N188+N195+N202+N209+N216++N223+N230+N237+N244</f>
        <v>20253.199999999997</v>
      </c>
      <c r="O167" s="54"/>
      <c r="P167" s="4"/>
    </row>
    <row r="168" spans="1:24" s="11" customFormat="1" ht="15.75" customHeight="1">
      <c r="A168" s="52"/>
      <c r="B168" s="87"/>
      <c r="C168" s="51" t="s">
        <v>90</v>
      </c>
      <c r="D168" s="10" t="s">
        <v>13</v>
      </c>
      <c r="E168" s="2">
        <f t="shared" si="54"/>
        <v>128655.36999999998</v>
      </c>
      <c r="F168" s="2">
        <f t="shared" si="54"/>
        <v>122789.84</v>
      </c>
      <c r="G168" s="2">
        <f>G175+G182+G245</f>
        <v>85805.569999999978</v>
      </c>
      <c r="H168" s="2">
        <f>H175+H182+H245</f>
        <v>80980.039999999994</v>
      </c>
      <c r="I168" s="2">
        <f t="shared" ref="I168:L169" si="56">I175+I182+I189+I196+I203+I210+I217++I224+I231+I238+I245</f>
        <v>220</v>
      </c>
      <c r="J168" s="2">
        <f t="shared" si="56"/>
        <v>0</v>
      </c>
      <c r="K168" s="2">
        <f t="shared" si="56"/>
        <v>17618</v>
      </c>
      <c r="L168" s="2">
        <f t="shared" si="56"/>
        <v>16798</v>
      </c>
      <c r="M168" s="2">
        <f>M175+M182+M189+M196+M203+M210+M217+M224+M231+M238+M245</f>
        <v>25011.8</v>
      </c>
      <c r="N168" s="2">
        <f>N175+N182+N189+N196+N203+N210+N217++N224+N231+N238+N245</f>
        <v>25011.8</v>
      </c>
      <c r="O168" s="54"/>
      <c r="P168" s="4"/>
    </row>
    <row r="169" spans="1:24" s="11" customFormat="1" ht="15.6" customHeight="1">
      <c r="A169" s="52"/>
      <c r="B169" s="87"/>
      <c r="C169" s="52"/>
      <c r="D169" s="10" t="s">
        <v>14</v>
      </c>
      <c r="E169" s="2">
        <f t="shared" si="54"/>
        <v>151718.633</v>
      </c>
      <c r="F169" s="2">
        <f t="shared" si="54"/>
        <v>150033.633</v>
      </c>
      <c r="G169" s="2">
        <f>G176+G183+G190+G197+G204+G211+G218++G225+G232+G239+G246</f>
        <v>90037.8</v>
      </c>
      <c r="H169" s="2">
        <f>H176+H183+H190+H197+H204+H211+H218++H225+H232+H239+H246</f>
        <v>88352.8</v>
      </c>
      <c r="I169" s="2">
        <f t="shared" si="56"/>
        <v>0</v>
      </c>
      <c r="J169" s="2">
        <f t="shared" si="56"/>
        <v>0</v>
      </c>
      <c r="K169" s="2">
        <f t="shared" si="56"/>
        <v>31832.332999999999</v>
      </c>
      <c r="L169" s="2">
        <f t="shared" si="56"/>
        <v>31832.332999999999</v>
      </c>
      <c r="M169" s="2">
        <f>M176+M183+M190+M197+M204+M211+M218+M225+M232+M239+M246</f>
        <v>29848.5</v>
      </c>
      <c r="N169" s="2">
        <f>N176+N183+N190+N197+N204+N211+N218++N225+N232+N239+N246</f>
        <v>29848.5</v>
      </c>
      <c r="O169" s="54"/>
      <c r="P169" s="4"/>
      <c r="X169" s="35"/>
    </row>
    <row r="170" spans="1:24" s="11" customFormat="1">
      <c r="A170" s="52"/>
      <c r="B170" s="87"/>
      <c r="C170" s="52"/>
      <c r="D170" s="10" t="s">
        <v>15</v>
      </c>
      <c r="E170" s="2">
        <f>G170+I170+K170+M170</f>
        <v>167315.35</v>
      </c>
      <c r="F170" s="2">
        <f t="shared" si="54"/>
        <v>161257.44999999998</v>
      </c>
      <c r="G170" s="2">
        <f t="shared" ref="G170:N172" si="57">G177+G184+G191+G198+G205+G212+G219++G226+G233+G240+G247+G254+G261+G268+G275</f>
        <v>100397.00000000001</v>
      </c>
      <c r="H170" s="2">
        <f t="shared" si="57"/>
        <v>94339.1</v>
      </c>
      <c r="I170" s="2">
        <f t="shared" si="57"/>
        <v>518.5</v>
      </c>
      <c r="J170" s="2">
        <f t="shared" si="57"/>
        <v>518.5</v>
      </c>
      <c r="K170" s="2">
        <f t="shared" si="57"/>
        <v>46669.45</v>
      </c>
      <c r="L170" s="2">
        <f t="shared" si="57"/>
        <v>46669.45</v>
      </c>
      <c r="M170" s="2">
        <f t="shared" si="57"/>
        <v>19730.400000000001</v>
      </c>
      <c r="N170" s="2">
        <f t="shared" si="57"/>
        <v>19730.400000000001</v>
      </c>
      <c r="O170" s="54"/>
      <c r="P170" s="4"/>
    </row>
    <row r="171" spans="1:24" s="11" customFormat="1">
      <c r="A171" s="52"/>
      <c r="B171" s="87"/>
      <c r="C171" s="52"/>
      <c r="D171" s="10" t="s">
        <v>16</v>
      </c>
      <c r="E171" s="2">
        <f t="shared" si="54"/>
        <v>163225.15</v>
      </c>
      <c r="F171" s="2">
        <f t="shared" si="54"/>
        <v>104617.4</v>
      </c>
      <c r="G171" s="2">
        <f t="shared" si="57"/>
        <v>99799.6</v>
      </c>
      <c r="H171" s="2">
        <f t="shared" si="57"/>
        <v>85536.819999999992</v>
      </c>
      <c r="I171" s="2">
        <f t="shared" si="57"/>
        <v>0</v>
      </c>
      <c r="J171" s="2">
        <f t="shared" si="57"/>
        <v>0</v>
      </c>
      <c r="K171" s="2">
        <f t="shared" si="57"/>
        <v>46669.45</v>
      </c>
      <c r="L171" s="2">
        <f t="shared" si="57"/>
        <v>2324.48</v>
      </c>
      <c r="M171" s="2">
        <f t="shared" si="57"/>
        <v>16756.099999999999</v>
      </c>
      <c r="N171" s="2">
        <f t="shared" si="57"/>
        <v>16756.099999999999</v>
      </c>
      <c r="O171" s="54"/>
      <c r="P171" s="4"/>
    </row>
    <row r="172" spans="1:24" s="11" customFormat="1">
      <c r="A172" s="52"/>
      <c r="B172" s="87"/>
      <c r="C172" s="52"/>
      <c r="D172" s="10" t="s">
        <v>17</v>
      </c>
      <c r="E172" s="2">
        <f>G172+I172+K172+M172</f>
        <v>163225.15</v>
      </c>
      <c r="F172" s="2">
        <f>H172+J172+L172+N172</f>
        <v>104589.70999999999</v>
      </c>
      <c r="G172" s="2">
        <f t="shared" si="57"/>
        <v>99799.6</v>
      </c>
      <c r="H172" s="2">
        <f t="shared" si="57"/>
        <v>85536.819999999992</v>
      </c>
      <c r="I172" s="2">
        <f t="shared" si="57"/>
        <v>0</v>
      </c>
      <c r="J172" s="2">
        <f t="shared" si="57"/>
        <v>0</v>
      </c>
      <c r="K172" s="2">
        <f t="shared" si="57"/>
        <v>46669.45</v>
      </c>
      <c r="L172" s="2">
        <f t="shared" si="57"/>
        <v>2296.79</v>
      </c>
      <c r="M172" s="2">
        <f t="shared" si="57"/>
        <v>16756.099999999999</v>
      </c>
      <c r="N172" s="2">
        <f t="shared" si="57"/>
        <v>16756.099999999999</v>
      </c>
      <c r="O172" s="54"/>
      <c r="P172" s="4"/>
    </row>
    <row r="173" spans="1:24" s="11" customFormat="1" ht="15.75" customHeight="1">
      <c r="A173" s="52"/>
      <c r="B173" s="56" t="s">
        <v>29</v>
      </c>
      <c r="C173" s="6"/>
      <c r="D173" s="10" t="s">
        <v>11</v>
      </c>
      <c r="E173" s="2">
        <f t="shared" ref="E173:N173" si="58">SUM(E174:E179)</f>
        <v>850478.45299999998</v>
      </c>
      <c r="F173" s="2">
        <f t="shared" si="58"/>
        <v>717722.63299999991</v>
      </c>
      <c r="G173" s="2">
        <f t="shared" si="58"/>
        <v>514739.2699999999</v>
      </c>
      <c r="H173" s="2">
        <f t="shared" si="58"/>
        <v>471741.07999999996</v>
      </c>
      <c r="I173" s="2">
        <f t="shared" si="58"/>
        <v>738.5</v>
      </c>
      <c r="J173" s="2">
        <f t="shared" si="58"/>
        <v>518.5</v>
      </c>
      <c r="K173" s="2">
        <f t="shared" si="58"/>
        <v>207023.18300000002</v>
      </c>
      <c r="L173" s="2">
        <f t="shared" si="58"/>
        <v>117485.55299999999</v>
      </c>
      <c r="M173" s="2">
        <f t="shared" si="58"/>
        <v>127977.5</v>
      </c>
      <c r="N173" s="2">
        <f t="shared" si="58"/>
        <v>127977.5</v>
      </c>
      <c r="O173" s="54"/>
      <c r="P173" s="4"/>
    </row>
    <row r="174" spans="1:24" s="28" customFormat="1" ht="54.75" customHeight="1">
      <c r="A174" s="52"/>
      <c r="B174" s="56"/>
      <c r="C174" s="1" t="s">
        <v>83</v>
      </c>
      <c r="D174" s="1" t="s">
        <v>12</v>
      </c>
      <c r="E174" s="2">
        <f t="shared" ref="E174:F178" si="59">G174+I174+K174+M174</f>
        <v>114532.09999999998</v>
      </c>
      <c r="F174" s="2">
        <f t="shared" si="59"/>
        <v>111157.5</v>
      </c>
      <c r="G174" s="3">
        <f>8503.5+H174-559.8-4514.1-10-45</f>
        <v>77092.999999999985</v>
      </c>
      <c r="H174" s="3">
        <v>73718.399999999994</v>
      </c>
      <c r="I174" s="3">
        <v>0</v>
      </c>
      <c r="J174" s="3">
        <v>0</v>
      </c>
      <c r="K174" s="3">
        <f>L174</f>
        <v>17564.5</v>
      </c>
      <c r="L174" s="3">
        <v>17564.5</v>
      </c>
      <c r="M174" s="3">
        <v>19874.599999999999</v>
      </c>
      <c r="N174" s="3">
        <f t="shared" ref="N174:N179" si="60">M174</f>
        <v>19874.599999999999</v>
      </c>
      <c r="O174" s="54"/>
      <c r="P174" s="39"/>
    </row>
    <row r="175" spans="1:24" ht="55.5" customHeight="1">
      <c r="A175" s="52"/>
      <c r="B175" s="56"/>
      <c r="C175" s="1" t="s">
        <v>82</v>
      </c>
      <c r="D175" s="1" t="s">
        <v>13</v>
      </c>
      <c r="E175" s="2">
        <f t="shared" si="59"/>
        <v>126132.86999999998</v>
      </c>
      <c r="F175" s="2">
        <f t="shared" si="59"/>
        <v>121423.63999999998</v>
      </c>
      <c r="G175" s="3">
        <f>H175+260.23+775+150+608+276+300+1300</f>
        <v>83283.069999999978</v>
      </c>
      <c r="H175" s="3">
        <f>79427.7-H217-H224-H231-H238-1165.7-H245+649.4-0.3+991.5+700+70-744.66</f>
        <v>79613.839999999982</v>
      </c>
      <c r="I175" s="3">
        <v>220</v>
      </c>
      <c r="J175" s="3">
        <v>0</v>
      </c>
      <c r="K175" s="3">
        <f>L175+360+460</f>
        <v>17618</v>
      </c>
      <c r="L175" s="3">
        <f>24612.9+72-7886.9</f>
        <v>16798</v>
      </c>
      <c r="M175" s="3">
        <f>25011.8-M189-M196-M217-M224-M231-M238</f>
        <v>25011.8</v>
      </c>
      <c r="N175" s="3">
        <f t="shared" si="60"/>
        <v>25011.8</v>
      </c>
      <c r="O175" s="54"/>
      <c r="P175" s="4"/>
    </row>
    <row r="176" spans="1:24" ht="15" customHeight="1">
      <c r="A176" s="52"/>
      <c r="B176" s="56"/>
      <c r="C176" s="55" t="s">
        <v>97</v>
      </c>
      <c r="D176" s="1" t="s">
        <v>14</v>
      </c>
      <c r="E176" s="2">
        <f t="shared" si="59"/>
        <v>150271.633</v>
      </c>
      <c r="F176" s="2">
        <f t="shared" si="59"/>
        <v>148586.633</v>
      </c>
      <c r="G176" s="3">
        <f>H176+1685</f>
        <v>88590.8</v>
      </c>
      <c r="H176" s="3">
        <f>86449.7-H183-H246+1499.5+20+80+303.6</f>
        <v>86905.8</v>
      </c>
      <c r="I176" s="3">
        <v>0</v>
      </c>
      <c r="J176" s="3">
        <v>0</v>
      </c>
      <c r="K176" s="3">
        <f>L176</f>
        <v>31832.332999999999</v>
      </c>
      <c r="L176" s="3">
        <f>32007.833-175.5</f>
        <v>31832.332999999999</v>
      </c>
      <c r="M176" s="3">
        <f>29848.5-M190-M197-M218-M225-M232-M239</f>
        <v>29848.5</v>
      </c>
      <c r="N176" s="3">
        <f t="shared" si="60"/>
        <v>29848.5</v>
      </c>
      <c r="O176" s="54"/>
      <c r="P176" s="4"/>
    </row>
    <row r="177" spans="1:24" ht="34.9" customHeight="1">
      <c r="A177" s="52"/>
      <c r="B177" s="56"/>
      <c r="C177" s="55"/>
      <c r="D177" s="1" t="s">
        <v>15</v>
      </c>
      <c r="E177" s="2">
        <f t="shared" si="59"/>
        <v>155509.15</v>
      </c>
      <c r="F177" s="2">
        <f>H177+J177+L177+N177</f>
        <v>149765.35</v>
      </c>
      <c r="G177" s="3">
        <f>G176</f>
        <v>88590.8</v>
      </c>
      <c r="H177" s="3">
        <f>83844.3-H184</f>
        <v>82847</v>
      </c>
      <c r="I177" s="3">
        <f>J177</f>
        <v>518.5</v>
      </c>
      <c r="J177" s="3">
        <v>518.5</v>
      </c>
      <c r="K177" s="3">
        <f>L177</f>
        <v>46669.45</v>
      </c>
      <c r="L177" s="3">
        <f>13042.95+106.2+12446.1+21074.2</f>
        <v>46669.45</v>
      </c>
      <c r="M177" s="3">
        <f>19730.4-M191-M198-M219-M226-M233-M240</f>
        <v>19730.400000000001</v>
      </c>
      <c r="N177" s="3">
        <f t="shared" si="60"/>
        <v>19730.400000000001</v>
      </c>
      <c r="O177" s="54"/>
      <c r="P177" s="4"/>
    </row>
    <row r="178" spans="1:24" ht="34.9" customHeight="1">
      <c r="A178" s="52"/>
      <c r="B178" s="56"/>
      <c r="C178" s="55"/>
      <c r="D178" s="1" t="s">
        <v>16</v>
      </c>
      <c r="E178" s="2">
        <f t="shared" si="59"/>
        <v>152016.35</v>
      </c>
      <c r="F178" s="2">
        <f t="shared" si="59"/>
        <v>93408.599999999977</v>
      </c>
      <c r="G178" s="3">
        <f>G177</f>
        <v>88590.8</v>
      </c>
      <c r="H178" s="3">
        <f>75807.62-H185-H248</f>
        <v>74328.01999999999</v>
      </c>
      <c r="I178" s="3">
        <v>0</v>
      </c>
      <c r="J178" s="3">
        <v>0</v>
      </c>
      <c r="K178" s="3">
        <f>K177</f>
        <v>46669.45</v>
      </c>
      <c r="L178" s="3">
        <v>2324.48</v>
      </c>
      <c r="M178" s="3">
        <f>16756.1-M192-M199-M220-M227-M234-M241</f>
        <v>16756.099999999999</v>
      </c>
      <c r="N178" s="3">
        <f t="shared" si="60"/>
        <v>16756.099999999999</v>
      </c>
      <c r="O178" s="54"/>
      <c r="P178" s="4"/>
    </row>
    <row r="179" spans="1:24" ht="34.9" customHeight="1">
      <c r="A179" s="52"/>
      <c r="B179" s="56"/>
      <c r="C179" s="55"/>
      <c r="D179" s="1" t="s">
        <v>17</v>
      </c>
      <c r="E179" s="2">
        <f>G179+I179+K179+M179</f>
        <v>152016.35</v>
      </c>
      <c r="F179" s="2">
        <f>H179+J179+L179+N179</f>
        <v>93380.909999999974</v>
      </c>
      <c r="G179" s="3">
        <f>G178</f>
        <v>88590.8</v>
      </c>
      <c r="H179" s="3">
        <f>H178</f>
        <v>74328.01999999999</v>
      </c>
      <c r="I179" s="3">
        <v>0</v>
      </c>
      <c r="J179" s="3">
        <v>0</v>
      </c>
      <c r="K179" s="3">
        <f>K178</f>
        <v>46669.45</v>
      </c>
      <c r="L179" s="3">
        <v>2296.79</v>
      </c>
      <c r="M179" s="3">
        <f>M178</f>
        <v>16756.099999999999</v>
      </c>
      <c r="N179" s="3">
        <f t="shared" si="60"/>
        <v>16756.099999999999</v>
      </c>
      <c r="O179" s="54"/>
      <c r="P179" s="4"/>
    </row>
    <row r="180" spans="1:24" s="11" customFormat="1" ht="15.75" customHeight="1">
      <c r="A180" s="52"/>
      <c r="B180" s="74" t="s">
        <v>30</v>
      </c>
      <c r="C180" s="12"/>
      <c r="D180" s="10" t="s">
        <v>11</v>
      </c>
      <c r="E180" s="2">
        <f t="shared" ref="E180:N180" si="61">SUM(E181:E186)</f>
        <v>7039.9</v>
      </c>
      <c r="F180" s="2">
        <f t="shared" si="61"/>
        <v>6439.9</v>
      </c>
      <c r="G180" s="2">
        <f t="shared" si="61"/>
        <v>7039.9</v>
      </c>
      <c r="H180" s="2">
        <f t="shared" si="61"/>
        <v>6439.9</v>
      </c>
      <c r="I180" s="2">
        <f t="shared" si="61"/>
        <v>0</v>
      </c>
      <c r="J180" s="2">
        <f t="shared" si="61"/>
        <v>0</v>
      </c>
      <c r="K180" s="2">
        <f t="shared" si="61"/>
        <v>0</v>
      </c>
      <c r="L180" s="2">
        <f t="shared" si="61"/>
        <v>0</v>
      </c>
      <c r="M180" s="2">
        <f t="shared" si="61"/>
        <v>0</v>
      </c>
      <c r="N180" s="2">
        <f t="shared" si="61"/>
        <v>0</v>
      </c>
      <c r="O180" s="54"/>
      <c r="P180" s="4"/>
    </row>
    <row r="181" spans="1:24" s="28" customFormat="1" ht="30" customHeight="1">
      <c r="A181" s="52"/>
      <c r="B181" s="74"/>
      <c r="C181" s="17" t="s">
        <v>91</v>
      </c>
      <c r="D181" s="1" t="s">
        <v>12</v>
      </c>
      <c r="E181" s="2">
        <f t="shared" ref="E181:F185" si="62">G181+I181+K181+M181</f>
        <v>1526.6</v>
      </c>
      <c r="F181" s="2">
        <f t="shared" si="62"/>
        <v>926.6</v>
      </c>
      <c r="G181" s="3">
        <f>600+H181</f>
        <v>1526.6</v>
      </c>
      <c r="H181" s="3">
        <v>926.6</v>
      </c>
      <c r="I181" s="3">
        <v>0</v>
      </c>
      <c r="J181" s="3">
        <v>0</v>
      </c>
      <c r="K181" s="3">
        <v>0</v>
      </c>
      <c r="L181" s="3">
        <v>0</v>
      </c>
      <c r="M181" s="3">
        <f>N181</f>
        <v>0</v>
      </c>
      <c r="N181" s="3">
        <v>0</v>
      </c>
      <c r="O181" s="54"/>
      <c r="P181" s="39"/>
    </row>
    <row r="182" spans="1:24" ht="25.5" customHeight="1">
      <c r="A182" s="52"/>
      <c r="B182" s="74"/>
      <c r="C182" s="68" t="s">
        <v>62</v>
      </c>
      <c r="D182" s="1" t="s">
        <v>13</v>
      </c>
      <c r="E182" s="2">
        <f t="shared" si="62"/>
        <v>1052.0999999999999</v>
      </c>
      <c r="F182" s="2">
        <f t="shared" si="62"/>
        <v>1052.0999999999999</v>
      </c>
      <c r="G182" s="3">
        <f>H182</f>
        <v>1052.0999999999999</v>
      </c>
      <c r="H182" s="3">
        <f>52.1+1160.5-46.9-113.6</f>
        <v>1052.0999999999999</v>
      </c>
      <c r="I182" s="3">
        <v>0</v>
      </c>
      <c r="J182" s="3">
        <v>0</v>
      </c>
      <c r="K182" s="3">
        <v>0</v>
      </c>
      <c r="L182" s="3">
        <v>0</v>
      </c>
      <c r="M182" s="3">
        <f>N182</f>
        <v>0</v>
      </c>
      <c r="N182" s="3">
        <v>0</v>
      </c>
      <c r="O182" s="54"/>
      <c r="P182" s="4"/>
    </row>
    <row r="183" spans="1:24" ht="15.6" customHeight="1">
      <c r="A183" s="52"/>
      <c r="B183" s="74"/>
      <c r="C183" s="69"/>
      <c r="D183" s="1" t="s">
        <v>14</v>
      </c>
      <c r="E183" s="2">
        <f t="shared" si="62"/>
        <v>1132.9000000000001</v>
      </c>
      <c r="F183" s="2">
        <f t="shared" si="62"/>
        <v>1132.9000000000001</v>
      </c>
      <c r="G183" s="3">
        <f>H183</f>
        <v>1132.9000000000001</v>
      </c>
      <c r="H183" s="3">
        <f>1165.5-32.6</f>
        <v>1132.9000000000001</v>
      </c>
      <c r="I183" s="3">
        <v>0</v>
      </c>
      <c r="J183" s="3">
        <v>0</v>
      </c>
      <c r="K183" s="3">
        <v>0</v>
      </c>
      <c r="L183" s="3">
        <v>0</v>
      </c>
      <c r="M183" s="3">
        <f>1.1*M182</f>
        <v>0</v>
      </c>
      <c r="N183" s="3">
        <v>0</v>
      </c>
      <c r="O183" s="54"/>
      <c r="P183" s="4"/>
      <c r="X183" s="38"/>
    </row>
    <row r="184" spans="1:24">
      <c r="A184" s="52"/>
      <c r="B184" s="74"/>
      <c r="C184" s="69"/>
      <c r="D184" s="1" t="s">
        <v>15</v>
      </c>
      <c r="E184" s="2">
        <f>G184+I184+K184+M184</f>
        <v>997.3</v>
      </c>
      <c r="F184" s="2">
        <f t="shared" si="62"/>
        <v>997.3</v>
      </c>
      <c r="G184" s="3">
        <f>H184</f>
        <v>997.3</v>
      </c>
      <c r="H184" s="3">
        <v>997.3</v>
      </c>
      <c r="I184" s="3">
        <v>0</v>
      </c>
      <c r="J184" s="3">
        <v>0</v>
      </c>
      <c r="K184" s="3">
        <v>0</v>
      </c>
      <c r="L184" s="3">
        <v>0</v>
      </c>
      <c r="M184" s="3">
        <f>1.1*M183</f>
        <v>0</v>
      </c>
      <c r="N184" s="3">
        <v>0</v>
      </c>
      <c r="O184" s="54"/>
      <c r="P184" s="4"/>
    </row>
    <row r="185" spans="1:24">
      <c r="A185" s="52"/>
      <c r="B185" s="74"/>
      <c r="C185" s="69"/>
      <c r="D185" s="1" t="s">
        <v>16</v>
      </c>
      <c r="E185" s="2">
        <f>G185+I185+K185+M185</f>
        <v>1165.5</v>
      </c>
      <c r="F185" s="2">
        <f t="shared" si="62"/>
        <v>1165.5</v>
      </c>
      <c r="G185" s="3">
        <f>H185</f>
        <v>1165.5</v>
      </c>
      <c r="H185" s="3">
        <v>1165.5</v>
      </c>
      <c r="I185" s="3">
        <v>0</v>
      </c>
      <c r="J185" s="3">
        <v>0</v>
      </c>
      <c r="K185" s="3">
        <v>0</v>
      </c>
      <c r="L185" s="3">
        <v>0</v>
      </c>
      <c r="M185" s="3">
        <f>1.1*M184</f>
        <v>0</v>
      </c>
      <c r="N185" s="3">
        <v>0</v>
      </c>
      <c r="O185" s="54"/>
      <c r="P185" s="4"/>
    </row>
    <row r="186" spans="1:24">
      <c r="A186" s="52"/>
      <c r="B186" s="74"/>
      <c r="C186" s="69"/>
      <c r="D186" s="1" t="s">
        <v>17</v>
      </c>
      <c r="E186" s="2">
        <f>G186+I186+K186+M186</f>
        <v>1165.5</v>
      </c>
      <c r="F186" s="2">
        <f>H186+J186+L186+N186</f>
        <v>1165.5</v>
      </c>
      <c r="G186" s="3">
        <f>G185</f>
        <v>1165.5</v>
      </c>
      <c r="H186" s="3">
        <f>H185</f>
        <v>1165.5</v>
      </c>
      <c r="I186" s="3">
        <v>0</v>
      </c>
      <c r="J186" s="3">
        <v>0</v>
      </c>
      <c r="K186" s="3">
        <v>0</v>
      </c>
      <c r="L186" s="3">
        <v>0</v>
      </c>
      <c r="M186" s="3">
        <f>1.1*M185</f>
        <v>0</v>
      </c>
      <c r="N186" s="3">
        <v>0</v>
      </c>
      <c r="O186" s="54"/>
      <c r="P186" s="4"/>
    </row>
    <row r="187" spans="1:24" s="11" customFormat="1" ht="15.6" customHeight="1">
      <c r="A187" s="52"/>
      <c r="B187" s="74" t="s">
        <v>31</v>
      </c>
      <c r="C187" s="77"/>
      <c r="D187" s="10" t="s">
        <v>11</v>
      </c>
      <c r="E187" s="2">
        <f>SUM(E188:E193)</f>
        <v>1815.6</v>
      </c>
      <c r="F187" s="2">
        <f t="shared" ref="F187:L187" si="63">SUM(F188:F193)</f>
        <v>1515.6</v>
      </c>
      <c r="G187" s="2">
        <f t="shared" si="63"/>
        <v>1500</v>
      </c>
      <c r="H187" s="2">
        <f t="shared" si="63"/>
        <v>1500</v>
      </c>
      <c r="I187" s="2">
        <f t="shared" si="63"/>
        <v>0</v>
      </c>
      <c r="J187" s="2">
        <f t="shared" si="63"/>
        <v>0</v>
      </c>
      <c r="K187" s="2">
        <f t="shared" si="63"/>
        <v>300</v>
      </c>
      <c r="L187" s="2">
        <f t="shared" si="63"/>
        <v>0</v>
      </c>
      <c r="M187" s="2">
        <f>SUM(M188:M193)</f>
        <v>15.6</v>
      </c>
      <c r="N187" s="2">
        <f>SUM(N188:N193)</f>
        <v>15.6</v>
      </c>
      <c r="O187" s="54"/>
      <c r="P187" s="4"/>
    </row>
    <row r="188" spans="1:24" s="28" customFormat="1" ht="31.15" customHeight="1">
      <c r="A188" s="52"/>
      <c r="B188" s="74"/>
      <c r="C188" s="78"/>
      <c r="D188" s="1" t="s">
        <v>12</v>
      </c>
      <c r="E188" s="2">
        <f>G188+I188+K188+M188</f>
        <v>1815.6</v>
      </c>
      <c r="F188" s="2">
        <f>H188+J188+L188+N188</f>
        <v>1515.6</v>
      </c>
      <c r="G188" s="3">
        <v>1500</v>
      </c>
      <c r="H188" s="3">
        <v>1500</v>
      </c>
      <c r="I188" s="3">
        <v>0</v>
      </c>
      <c r="J188" s="3">
        <v>0</v>
      </c>
      <c r="K188" s="3">
        <v>300</v>
      </c>
      <c r="L188" s="3">
        <v>0</v>
      </c>
      <c r="M188" s="3">
        <v>15.6</v>
      </c>
      <c r="N188" s="3">
        <f>M188</f>
        <v>15.6</v>
      </c>
      <c r="O188" s="54"/>
      <c r="P188" s="39"/>
    </row>
    <row r="189" spans="1:24" ht="25.9" customHeight="1">
      <c r="A189" s="52"/>
      <c r="B189" s="74"/>
      <c r="C189" s="79"/>
      <c r="D189" s="1" t="s">
        <v>13</v>
      </c>
      <c r="E189" s="59" t="s">
        <v>58</v>
      </c>
      <c r="F189" s="60"/>
      <c r="G189" s="60"/>
      <c r="H189" s="60"/>
      <c r="I189" s="60"/>
      <c r="J189" s="60"/>
      <c r="K189" s="60"/>
      <c r="L189" s="60"/>
      <c r="M189" s="60"/>
      <c r="N189" s="61"/>
      <c r="O189" s="54"/>
      <c r="P189" s="4"/>
    </row>
    <row r="190" spans="1:24" ht="15.6" hidden="1" customHeight="1">
      <c r="A190" s="52"/>
      <c r="B190" s="74"/>
      <c r="C190" s="1"/>
      <c r="D190" s="1" t="s">
        <v>14</v>
      </c>
      <c r="E190" s="62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4"/>
    </row>
    <row r="191" spans="1:24" ht="15.6" hidden="1" customHeight="1">
      <c r="A191" s="52"/>
      <c r="B191" s="74"/>
      <c r="C191" s="1"/>
      <c r="D191" s="1" t="s">
        <v>15</v>
      </c>
      <c r="E191" s="62"/>
      <c r="F191" s="63"/>
      <c r="G191" s="63"/>
      <c r="H191" s="63"/>
      <c r="I191" s="63"/>
      <c r="J191" s="63"/>
      <c r="K191" s="63"/>
      <c r="L191" s="63"/>
      <c r="M191" s="63"/>
      <c r="N191" s="64"/>
      <c r="O191" s="54"/>
      <c r="P191" s="4"/>
    </row>
    <row r="192" spans="1:24" ht="15.6" hidden="1" customHeight="1">
      <c r="A192" s="52"/>
      <c r="B192" s="74"/>
      <c r="C192" s="1"/>
      <c r="D192" s="1" t="s">
        <v>16</v>
      </c>
      <c r="E192" s="62"/>
      <c r="F192" s="63"/>
      <c r="G192" s="63"/>
      <c r="H192" s="63"/>
      <c r="I192" s="63"/>
      <c r="J192" s="63"/>
      <c r="K192" s="63"/>
      <c r="L192" s="63"/>
      <c r="M192" s="63"/>
      <c r="N192" s="64"/>
      <c r="O192" s="54"/>
      <c r="P192" s="4"/>
    </row>
    <row r="193" spans="1:16" ht="15.6" hidden="1" customHeight="1">
      <c r="A193" s="52"/>
      <c r="B193" s="74"/>
      <c r="C193" s="1"/>
      <c r="D193" s="1" t="s">
        <v>17</v>
      </c>
      <c r="E193" s="65"/>
      <c r="F193" s="66"/>
      <c r="G193" s="66"/>
      <c r="H193" s="66"/>
      <c r="I193" s="66"/>
      <c r="J193" s="66"/>
      <c r="K193" s="66"/>
      <c r="L193" s="66"/>
      <c r="M193" s="66"/>
      <c r="N193" s="67"/>
      <c r="O193" s="54"/>
      <c r="P193" s="4"/>
    </row>
    <row r="194" spans="1:16" s="11" customFormat="1">
      <c r="A194" s="52"/>
      <c r="B194" s="74" t="s">
        <v>57</v>
      </c>
      <c r="C194" s="68" t="s">
        <v>64</v>
      </c>
      <c r="D194" s="10" t="s">
        <v>11</v>
      </c>
      <c r="E194" s="2">
        <f>SUM(E195:E200)</f>
        <v>6500</v>
      </c>
      <c r="F194" s="2">
        <f t="shared" ref="F194:N194" si="64">SUM(F195:F200)</f>
        <v>0</v>
      </c>
      <c r="G194" s="2">
        <f t="shared" si="64"/>
        <v>6500</v>
      </c>
      <c r="H194" s="2">
        <f t="shared" si="64"/>
        <v>0</v>
      </c>
      <c r="I194" s="2">
        <f t="shared" si="64"/>
        <v>0</v>
      </c>
      <c r="J194" s="2">
        <f t="shared" si="64"/>
        <v>0</v>
      </c>
      <c r="K194" s="2">
        <f t="shared" si="64"/>
        <v>0</v>
      </c>
      <c r="L194" s="2">
        <f t="shared" si="64"/>
        <v>0</v>
      </c>
      <c r="M194" s="2">
        <f t="shared" si="64"/>
        <v>0</v>
      </c>
      <c r="N194" s="2">
        <f t="shared" si="64"/>
        <v>0</v>
      </c>
      <c r="O194" s="54"/>
      <c r="P194" s="4"/>
    </row>
    <row r="195" spans="1:16" s="28" customFormat="1" ht="31.9" customHeight="1">
      <c r="A195" s="52"/>
      <c r="B195" s="74"/>
      <c r="C195" s="69"/>
      <c r="D195" s="1" t="s">
        <v>12</v>
      </c>
      <c r="E195" s="2">
        <f>G195+I195+K195+M195</f>
        <v>6500</v>
      </c>
      <c r="F195" s="2">
        <f>H195+J195+L195+N195</f>
        <v>0</v>
      </c>
      <c r="G195" s="3">
        <f>6500</f>
        <v>6500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>M195</f>
        <v>0</v>
      </c>
      <c r="O195" s="54"/>
      <c r="P195" s="39"/>
    </row>
    <row r="196" spans="1:16" ht="31.9" customHeight="1">
      <c r="A196" s="52"/>
      <c r="B196" s="74"/>
      <c r="C196" s="76"/>
      <c r="D196" s="1" t="s">
        <v>13</v>
      </c>
      <c r="E196" s="59" t="s">
        <v>58</v>
      </c>
      <c r="F196" s="60"/>
      <c r="G196" s="60"/>
      <c r="H196" s="60"/>
      <c r="I196" s="60"/>
      <c r="J196" s="60"/>
      <c r="K196" s="60"/>
      <c r="L196" s="60"/>
      <c r="M196" s="60"/>
      <c r="N196" s="61"/>
      <c r="O196" s="54"/>
      <c r="P196" s="4"/>
    </row>
    <row r="197" spans="1:16" ht="15.6" hidden="1" customHeight="1">
      <c r="A197" s="52"/>
      <c r="B197" s="74"/>
      <c r="C197" s="1"/>
      <c r="D197" s="1" t="s">
        <v>14</v>
      </c>
      <c r="E197" s="62"/>
      <c r="F197" s="63"/>
      <c r="G197" s="63"/>
      <c r="H197" s="63"/>
      <c r="I197" s="63"/>
      <c r="J197" s="63"/>
      <c r="K197" s="63"/>
      <c r="L197" s="63"/>
      <c r="M197" s="63"/>
      <c r="N197" s="64"/>
      <c r="O197" s="54"/>
      <c r="P197" s="4"/>
    </row>
    <row r="198" spans="1:16" ht="15.6" hidden="1" customHeight="1">
      <c r="A198" s="52"/>
      <c r="B198" s="74"/>
      <c r="C198" s="1"/>
      <c r="D198" s="1" t="s">
        <v>15</v>
      </c>
      <c r="E198" s="62"/>
      <c r="F198" s="63"/>
      <c r="G198" s="63"/>
      <c r="H198" s="63"/>
      <c r="I198" s="63"/>
      <c r="J198" s="63"/>
      <c r="K198" s="63"/>
      <c r="L198" s="63"/>
      <c r="M198" s="63"/>
      <c r="N198" s="64"/>
      <c r="O198" s="54"/>
      <c r="P198" s="4"/>
    </row>
    <row r="199" spans="1:16" ht="15.6" hidden="1" customHeight="1">
      <c r="A199" s="52"/>
      <c r="B199" s="74"/>
      <c r="C199" s="1"/>
      <c r="D199" s="1" t="s">
        <v>16</v>
      </c>
      <c r="E199" s="62"/>
      <c r="F199" s="63"/>
      <c r="G199" s="63"/>
      <c r="H199" s="63"/>
      <c r="I199" s="63"/>
      <c r="J199" s="63"/>
      <c r="K199" s="63"/>
      <c r="L199" s="63"/>
      <c r="M199" s="63"/>
      <c r="N199" s="64"/>
      <c r="O199" s="54"/>
      <c r="P199" s="4"/>
    </row>
    <row r="200" spans="1:16" ht="15.6" hidden="1" customHeight="1">
      <c r="A200" s="52"/>
      <c r="B200" s="74"/>
      <c r="C200" s="1"/>
      <c r="D200" s="1" t="s">
        <v>17</v>
      </c>
      <c r="E200" s="65"/>
      <c r="F200" s="66"/>
      <c r="G200" s="66"/>
      <c r="H200" s="66"/>
      <c r="I200" s="66"/>
      <c r="J200" s="66"/>
      <c r="K200" s="66"/>
      <c r="L200" s="66"/>
      <c r="M200" s="66"/>
      <c r="N200" s="67"/>
      <c r="O200" s="54"/>
      <c r="P200" s="4"/>
    </row>
    <row r="201" spans="1:16" ht="15.6" hidden="1" customHeight="1">
      <c r="A201" s="52"/>
      <c r="B201" s="74" t="s">
        <v>32</v>
      </c>
      <c r="C201" s="1"/>
      <c r="D201" s="1" t="s">
        <v>11</v>
      </c>
      <c r="E201" s="2">
        <f>SUM(E202:E207)</f>
        <v>0</v>
      </c>
      <c r="F201" s="2">
        <f t="shared" ref="F201:N201" si="65">SUM(F202:F207)</f>
        <v>0</v>
      </c>
      <c r="G201" s="3">
        <f t="shared" si="65"/>
        <v>0</v>
      </c>
      <c r="H201" s="3">
        <f t="shared" si="65"/>
        <v>0</v>
      </c>
      <c r="I201" s="3">
        <f t="shared" si="65"/>
        <v>0</v>
      </c>
      <c r="J201" s="3">
        <f t="shared" si="65"/>
        <v>0</v>
      </c>
      <c r="K201" s="3">
        <f t="shared" si="65"/>
        <v>0</v>
      </c>
      <c r="L201" s="3">
        <f t="shared" si="65"/>
        <v>0</v>
      </c>
      <c r="M201" s="3">
        <f t="shared" si="65"/>
        <v>0</v>
      </c>
      <c r="N201" s="3">
        <f t="shared" si="65"/>
        <v>0</v>
      </c>
      <c r="O201" s="54"/>
      <c r="P201" s="4"/>
    </row>
    <row r="202" spans="1:16" s="28" customFormat="1" ht="15.6" hidden="1" customHeight="1">
      <c r="A202" s="52"/>
      <c r="B202" s="74" t="s">
        <v>22</v>
      </c>
      <c r="C202" s="1"/>
      <c r="D202" s="1" t="s">
        <v>12</v>
      </c>
      <c r="E202" s="2">
        <f t="shared" ref="E202:F207" si="66">G202+I202+K202+M202</f>
        <v>0</v>
      </c>
      <c r="F202" s="2">
        <f t="shared" si="66"/>
        <v>0</v>
      </c>
      <c r="G202" s="3"/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f t="shared" ref="M202:M207" si="67">N202</f>
        <v>0</v>
      </c>
      <c r="N202" s="3">
        <v>0</v>
      </c>
      <c r="O202" s="54"/>
      <c r="P202" s="39"/>
    </row>
    <row r="203" spans="1:16" ht="15.6" hidden="1" customHeight="1">
      <c r="A203" s="52"/>
      <c r="B203" s="74" t="s">
        <v>23</v>
      </c>
      <c r="C203" s="1"/>
      <c r="D203" s="1" t="s">
        <v>13</v>
      </c>
      <c r="E203" s="2">
        <f t="shared" si="66"/>
        <v>0</v>
      </c>
      <c r="F203" s="2">
        <f t="shared" si="66"/>
        <v>0</v>
      </c>
      <c r="G203" s="3"/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f t="shared" si="67"/>
        <v>0</v>
      </c>
      <c r="N203" s="3">
        <v>0</v>
      </c>
      <c r="O203" s="54"/>
      <c r="P203" s="4"/>
    </row>
    <row r="204" spans="1:16" ht="15.6" hidden="1" customHeight="1">
      <c r="A204" s="52"/>
      <c r="B204" s="74"/>
      <c r="C204" s="1"/>
      <c r="D204" s="1" t="s">
        <v>14</v>
      </c>
      <c r="E204" s="2">
        <f t="shared" si="66"/>
        <v>0</v>
      </c>
      <c r="F204" s="2">
        <f t="shared" si="66"/>
        <v>0</v>
      </c>
      <c r="G204" s="3"/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f t="shared" si="67"/>
        <v>0</v>
      </c>
      <c r="N204" s="3">
        <v>0</v>
      </c>
      <c r="O204" s="54"/>
      <c r="P204" s="4"/>
    </row>
    <row r="205" spans="1:16" ht="15.6" hidden="1" customHeight="1">
      <c r="A205" s="52"/>
      <c r="B205" s="74"/>
      <c r="C205" s="1"/>
      <c r="D205" s="1" t="s">
        <v>15</v>
      </c>
      <c r="E205" s="2">
        <f t="shared" si="66"/>
        <v>0</v>
      </c>
      <c r="F205" s="2">
        <f t="shared" si="66"/>
        <v>0</v>
      </c>
      <c r="G205" s="3"/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f t="shared" si="67"/>
        <v>0</v>
      </c>
      <c r="N205" s="3">
        <v>0</v>
      </c>
      <c r="O205" s="54"/>
      <c r="P205" s="4"/>
    </row>
    <row r="206" spans="1:16" ht="15.6" hidden="1" customHeight="1">
      <c r="A206" s="52"/>
      <c r="B206" s="74"/>
      <c r="C206" s="1"/>
      <c r="D206" s="1" t="s">
        <v>16</v>
      </c>
      <c r="E206" s="2">
        <f t="shared" si="66"/>
        <v>0</v>
      </c>
      <c r="F206" s="2">
        <f t="shared" si="66"/>
        <v>0</v>
      </c>
      <c r="G206" s="3"/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f t="shared" si="67"/>
        <v>0</v>
      </c>
      <c r="N206" s="3">
        <v>0</v>
      </c>
      <c r="O206" s="54"/>
      <c r="P206" s="4"/>
    </row>
    <row r="207" spans="1:16" ht="15.6" hidden="1" customHeight="1">
      <c r="A207" s="52"/>
      <c r="B207" s="74"/>
      <c r="C207" s="1"/>
      <c r="D207" s="1" t="s">
        <v>17</v>
      </c>
      <c r="E207" s="2">
        <f t="shared" si="66"/>
        <v>0</v>
      </c>
      <c r="F207" s="2">
        <f t="shared" si="66"/>
        <v>0</v>
      </c>
      <c r="G207" s="3"/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f t="shared" si="67"/>
        <v>0</v>
      </c>
      <c r="N207" s="3">
        <v>0</v>
      </c>
      <c r="O207" s="54"/>
      <c r="P207" s="4"/>
    </row>
    <row r="208" spans="1:16" ht="15.6" hidden="1" customHeight="1">
      <c r="A208" s="52"/>
      <c r="B208" s="74" t="s">
        <v>33</v>
      </c>
      <c r="C208" s="1"/>
      <c r="D208" s="1" t="s">
        <v>11</v>
      </c>
      <c r="E208" s="2">
        <f>SUM(E209:E214)</f>
        <v>0</v>
      </c>
      <c r="F208" s="2">
        <f t="shared" ref="F208:N208" si="68">SUM(F209:F214)</f>
        <v>0</v>
      </c>
      <c r="G208" s="3">
        <f t="shared" si="68"/>
        <v>0</v>
      </c>
      <c r="H208" s="3">
        <f t="shared" si="68"/>
        <v>0</v>
      </c>
      <c r="I208" s="3">
        <f t="shared" si="68"/>
        <v>0</v>
      </c>
      <c r="J208" s="3">
        <f t="shared" si="68"/>
        <v>0</v>
      </c>
      <c r="K208" s="3">
        <f t="shared" si="68"/>
        <v>0</v>
      </c>
      <c r="L208" s="3">
        <f t="shared" si="68"/>
        <v>0</v>
      </c>
      <c r="M208" s="3">
        <f t="shared" si="68"/>
        <v>0</v>
      </c>
      <c r="N208" s="3">
        <f t="shared" si="68"/>
        <v>0</v>
      </c>
      <c r="O208" s="54"/>
      <c r="P208" s="4"/>
    </row>
    <row r="209" spans="1:16" s="28" customFormat="1" ht="15.6" hidden="1" customHeight="1">
      <c r="A209" s="52"/>
      <c r="B209" s="74"/>
      <c r="C209" s="1"/>
      <c r="D209" s="1" t="s">
        <v>12</v>
      </c>
      <c r="E209" s="2">
        <f t="shared" ref="E209:F214" si="69">G209+I209+K209+M209</f>
        <v>0</v>
      </c>
      <c r="F209" s="2">
        <f t="shared" si="69"/>
        <v>0</v>
      </c>
      <c r="G209" s="3"/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f t="shared" ref="M209:M214" si="70">N209</f>
        <v>0</v>
      </c>
      <c r="N209" s="3">
        <v>0</v>
      </c>
      <c r="O209" s="54"/>
      <c r="P209" s="39"/>
    </row>
    <row r="210" spans="1:16" ht="15.6" hidden="1" customHeight="1">
      <c r="A210" s="52"/>
      <c r="B210" s="74"/>
      <c r="C210" s="1"/>
      <c r="D210" s="1" t="s">
        <v>13</v>
      </c>
      <c r="E210" s="2">
        <f t="shared" si="69"/>
        <v>0</v>
      </c>
      <c r="F210" s="2">
        <f t="shared" si="69"/>
        <v>0</v>
      </c>
      <c r="G210" s="3"/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f t="shared" si="70"/>
        <v>0</v>
      </c>
      <c r="N210" s="3">
        <v>0</v>
      </c>
      <c r="O210" s="54"/>
      <c r="P210" s="4"/>
    </row>
    <row r="211" spans="1:16" ht="15.6" hidden="1" customHeight="1">
      <c r="A211" s="52"/>
      <c r="B211" s="74"/>
      <c r="C211" s="1"/>
      <c r="D211" s="1" t="s">
        <v>14</v>
      </c>
      <c r="E211" s="2">
        <f t="shared" si="69"/>
        <v>0</v>
      </c>
      <c r="F211" s="2">
        <f t="shared" si="69"/>
        <v>0</v>
      </c>
      <c r="G211" s="3"/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f t="shared" si="70"/>
        <v>0</v>
      </c>
      <c r="N211" s="3">
        <v>0</v>
      </c>
      <c r="O211" s="54"/>
      <c r="P211" s="4"/>
    </row>
    <row r="212" spans="1:16" ht="15.6" hidden="1" customHeight="1">
      <c r="A212" s="52"/>
      <c r="B212" s="74"/>
      <c r="C212" s="1"/>
      <c r="D212" s="1" t="s">
        <v>15</v>
      </c>
      <c r="E212" s="2">
        <f t="shared" si="69"/>
        <v>0</v>
      </c>
      <c r="F212" s="2">
        <f t="shared" si="69"/>
        <v>0</v>
      </c>
      <c r="G212" s="3"/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f t="shared" si="70"/>
        <v>0</v>
      </c>
      <c r="N212" s="3">
        <v>0</v>
      </c>
      <c r="O212" s="54"/>
      <c r="P212" s="4"/>
    </row>
    <row r="213" spans="1:16" ht="15.6" hidden="1" customHeight="1">
      <c r="A213" s="52"/>
      <c r="B213" s="74"/>
      <c r="C213" s="1"/>
      <c r="D213" s="1" t="s">
        <v>16</v>
      </c>
      <c r="E213" s="2">
        <f t="shared" si="69"/>
        <v>0</v>
      </c>
      <c r="F213" s="2">
        <f t="shared" si="69"/>
        <v>0</v>
      </c>
      <c r="G213" s="3"/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f t="shared" si="70"/>
        <v>0</v>
      </c>
      <c r="N213" s="3">
        <v>0</v>
      </c>
      <c r="O213" s="54"/>
      <c r="P213" s="4"/>
    </row>
    <row r="214" spans="1:16" ht="15.6" hidden="1" customHeight="1">
      <c r="A214" s="52"/>
      <c r="B214" s="74"/>
      <c r="C214" s="1"/>
      <c r="D214" s="1" t="s">
        <v>17</v>
      </c>
      <c r="E214" s="2">
        <f t="shared" si="69"/>
        <v>0</v>
      </c>
      <c r="F214" s="2">
        <f t="shared" si="69"/>
        <v>0</v>
      </c>
      <c r="G214" s="3"/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f t="shared" si="70"/>
        <v>0</v>
      </c>
      <c r="N214" s="3">
        <v>0</v>
      </c>
      <c r="O214" s="54"/>
      <c r="P214" s="4"/>
    </row>
    <row r="215" spans="1:16" s="11" customFormat="1" ht="60" customHeight="1">
      <c r="A215" s="52"/>
      <c r="B215" s="74" t="s">
        <v>45</v>
      </c>
      <c r="C215" s="68" t="s">
        <v>64</v>
      </c>
      <c r="D215" s="10" t="s">
        <v>11</v>
      </c>
      <c r="E215" s="2">
        <f>SUM(E216:E221)</f>
        <v>1145</v>
      </c>
      <c r="F215" s="2">
        <f t="shared" ref="F215:N215" si="71">SUM(F216:F221)</f>
        <v>445</v>
      </c>
      <c r="G215" s="2">
        <f t="shared" si="71"/>
        <v>930</v>
      </c>
      <c r="H215" s="2">
        <f t="shared" si="71"/>
        <v>430</v>
      </c>
      <c r="I215" s="2">
        <f t="shared" si="71"/>
        <v>100</v>
      </c>
      <c r="J215" s="2">
        <f t="shared" si="71"/>
        <v>0</v>
      </c>
      <c r="K215" s="2">
        <f t="shared" si="71"/>
        <v>100</v>
      </c>
      <c r="L215" s="2">
        <f t="shared" si="71"/>
        <v>0</v>
      </c>
      <c r="M215" s="2">
        <f t="shared" si="71"/>
        <v>15</v>
      </c>
      <c r="N215" s="2">
        <f t="shared" si="71"/>
        <v>15</v>
      </c>
      <c r="O215" s="54"/>
      <c r="P215" s="4"/>
    </row>
    <row r="216" spans="1:16" s="28" customFormat="1" ht="58.9" customHeight="1">
      <c r="A216" s="52"/>
      <c r="B216" s="74"/>
      <c r="C216" s="69"/>
      <c r="D216" s="1" t="s">
        <v>12</v>
      </c>
      <c r="E216" s="2">
        <f>G216+I216+K216+M216</f>
        <v>1145</v>
      </c>
      <c r="F216" s="2">
        <f>H216+J216+L216+N216</f>
        <v>445</v>
      </c>
      <c r="G216" s="3">
        <f>500+H216</f>
        <v>930</v>
      </c>
      <c r="H216" s="3">
        <v>430</v>
      </c>
      <c r="I216" s="3">
        <v>100</v>
      </c>
      <c r="J216" s="3">
        <v>0</v>
      </c>
      <c r="K216" s="3">
        <v>100</v>
      </c>
      <c r="L216" s="3">
        <v>0</v>
      </c>
      <c r="M216" s="3">
        <v>15</v>
      </c>
      <c r="N216" s="3">
        <f>M216</f>
        <v>15</v>
      </c>
      <c r="O216" s="54"/>
      <c r="P216" s="39"/>
    </row>
    <row r="217" spans="1:16" ht="82.15" customHeight="1">
      <c r="A217" s="52"/>
      <c r="B217" s="74"/>
      <c r="C217" s="76"/>
      <c r="D217" s="1" t="s">
        <v>13</v>
      </c>
      <c r="E217" s="59" t="s">
        <v>58</v>
      </c>
      <c r="F217" s="60"/>
      <c r="G217" s="60"/>
      <c r="H217" s="60"/>
      <c r="I217" s="60"/>
      <c r="J217" s="60"/>
      <c r="K217" s="60"/>
      <c r="L217" s="60"/>
      <c r="M217" s="60"/>
      <c r="N217" s="61"/>
      <c r="O217" s="54"/>
      <c r="P217" s="4"/>
    </row>
    <row r="218" spans="1:16" ht="15.6" hidden="1" customHeight="1">
      <c r="A218" s="52"/>
      <c r="B218" s="74"/>
      <c r="C218" s="1"/>
      <c r="D218" s="1" t="s">
        <v>14</v>
      </c>
      <c r="E218" s="62"/>
      <c r="F218" s="63"/>
      <c r="G218" s="63"/>
      <c r="H218" s="63"/>
      <c r="I218" s="63"/>
      <c r="J218" s="63"/>
      <c r="K218" s="63"/>
      <c r="L218" s="63"/>
      <c r="M218" s="63"/>
      <c r="N218" s="64"/>
      <c r="O218" s="54"/>
      <c r="P218" s="4"/>
    </row>
    <row r="219" spans="1:16" ht="15.6" hidden="1" customHeight="1">
      <c r="A219" s="52"/>
      <c r="B219" s="74"/>
      <c r="C219" s="1"/>
      <c r="D219" s="1" t="s">
        <v>15</v>
      </c>
      <c r="E219" s="62"/>
      <c r="F219" s="63"/>
      <c r="G219" s="63"/>
      <c r="H219" s="63"/>
      <c r="I219" s="63"/>
      <c r="J219" s="63"/>
      <c r="K219" s="63"/>
      <c r="L219" s="63"/>
      <c r="M219" s="63"/>
      <c r="N219" s="64"/>
      <c r="O219" s="54"/>
      <c r="P219" s="4"/>
    </row>
    <row r="220" spans="1:16" ht="15.6" hidden="1" customHeight="1">
      <c r="A220" s="52"/>
      <c r="B220" s="74"/>
      <c r="C220" s="1"/>
      <c r="D220" s="1" t="s">
        <v>16</v>
      </c>
      <c r="E220" s="62"/>
      <c r="F220" s="63"/>
      <c r="G220" s="63"/>
      <c r="H220" s="63"/>
      <c r="I220" s="63"/>
      <c r="J220" s="63"/>
      <c r="K220" s="63"/>
      <c r="L220" s="63"/>
      <c r="M220" s="63"/>
      <c r="N220" s="64"/>
      <c r="O220" s="54"/>
      <c r="P220" s="4"/>
    </row>
    <row r="221" spans="1:16" ht="15.6" hidden="1" customHeight="1">
      <c r="A221" s="52"/>
      <c r="B221" s="74"/>
      <c r="C221" s="1"/>
      <c r="D221" s="1" t="s">
        <v>17</v>
      </c>
      <c r="E221" s="65"/>
      <c r="F221" s="66"/>
      <c r="G221" s="66"/>
      <c r="H221" s="66"/>
      <c r="I221" s="66"/>
      <c r="J221" s="66"/>
      <c r="K221" s="66"/>
      <c r="L221" s="66"/>
      <c r="M221" s="66"/>
      <c r="N221" s="67"/>
      <c r="O221" s="54"/>
      <c r="P221" s="4"/>
    </row>
    <row r="222" spans="1:16" s="11" customFormat="1">
      <c r="A222" s="52"/>
      <c r="B222" s="74" t="s">
        <v>35</v>
      </c>
      <c r="C222" s="68" t="s">
        <v>64</v>
      </c>
      <c r="D222" s="10" t="s">
        <v>11</v>
      </c>
      <c r="E222" s="2">
        <f>SUM(E223:E228)</f>
        <v>700</v>
      </c>
      <c r="F222" s="2">
        <f t="shared" ref="F222:N222" si="72">SUM(F223:F228)</f>
        <v>250</v>
      </c>
      <c r="G222" s="2">
        <f t="shared" si="72"/>
        <v>450</v>
      </c>
      <c r="H222" s="2">
        <f t="shared" si="72"/>
        <v>0</v>
      </c>
      <c r="I222" s="2">
        <f t="shared" si="72"/>
        <v>0</v>
      </c>
      <c r="J222" s="2">
        <f t="shared" si="72"/>
        <v>0</v>
      </c>
      <c r="K222" s="2">
        <f t="shared" si="72"/>
        <v>0</v>
      </c>
      <c r="L222" s="2">
        <f t="shared" si="72"/>
        <v>0</v>
      </c>
      <c r="M222" s="2">
        <f t="shared" si="72"/>
        <v>250</v>
      </c>
      <c r="N222" s="2">
        <f t="shared" si="72"/>
        <v>250</v>
      </c>
      <c r="O222" s="54"/>
      <c r="P222" s="4"/>
    </row>
    <row r="223" spans="1:16" s="28" customFormat="1">
      <c r="A223" s="52"/>
      <c r="B223" s="74"/>
      <c r="C223" s="69"/>
      <c r="D223" s="1" t="s">
        <v>12</v>
      </c>
      <c r="E223" s="2">
        <f>G223+I223+K223+M223</f>
        <v>700</v>
      </c>
      <c r="F223" s="2">
        <f>H223+J223+L223+N223</f>
        <v>250</v>
      </c>
      <c r="G223" s="3">
        <f>450+H223</f>
        <v>450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250</v>
      </c>
      <c r="N223" s="3">
        <f>M223</f>
        <v>250</v>
      </c>
      <c r="O223" s="54"/>
      <c r="P223" s="39"/>
    </row>
    <row r="224" spans="1:16" ht="24" customHeight="1">
      <c r="A224" s="52"/>
      <c r="B224" s="74"/>
      <c r="C224" s="76"/>
      <c r="D224" s="1" t="s">
        <v>13</v>
      </c>
      <c r="E224" s="59" t="s">
        <v>58</v>
      </c>
      <c r="F224" s="60"/>
      <c r="G224" s="60"/>
      <c r="H224" s="60"/>
      <c r="I224" s="60"/>
      <c r="J224" s="60"/>
      <c r="K224" s="60"/>
      <c r="L224" s="60"/>
      <c r="M224" s="60"/>
      <c r="N224" s="61"/>
      <c r="O224" s="54"/>
      <c r="P224" s="4"/>
    </row>
    <row r="225" spans="1:16" ht="15.6" hidden="1" customHeight="1">
      <c r="A225" s="52"/>
      <c r="B225" s="74"/>
      <c r="C225" s="1"/>
      <c r="D225" s="1" t="s">
        <v>14</v>
      </c>
      <c r="E225" s="62"/>
      <c r="F225" s="63"/>
      <c r="G225" s="63"/>
      <c r="H225" s="63"/>
      <c r="I225" s="63"/>
      <c r="J225" s="63"/>
      <c r="K225" s="63"/>
      <c r="L225" s="63"/>
      <c r="M225" s="63"/>
      <c r="N225" s="64"/>
      <c r="O225" s="54"/>
      <c r="P225" s="4"/>
    </row>
    <row r="226" spans="1:16" ht="15.6" hidden="1" customHeight="1">
      <c r="A226" s="52"/>
      <c r="B226" s="74"/>
      <c r="C226" s="1"/>
      <c r="D226" s="1" t="s">
        <v>15</v>
      </c>
      <c r="E226" s="62"/>
      <c r="F226" s="63"/>
      <c r="G226" s="63"/>
      <c r="H226" s="63"/>
      <c r="I226" s="63"/>
      <c r="J226" s="63"/>
      <c r="K226" s="63"/>
      <c r="L226" s="63"/>
      <c r="M226" s="63"/>
      <c r="N226" s="64"/>
      <c r="O226" s="54"/>
      <c r="P226" s="4"/>
    </row>
    <row r="227" spans="1:16" ht="15.6" hidden="1" customHeight="1">
      <c r="A227" s="52"/>
      <c r="B227" s="74"/>
      <c r="C227" s="1"/>
      <c r="D227" s="1" t="s">
        <v>16</v>
      </c>
      <c r="E227" s="62"/>
      <c r="F227" s="63"/>
      <c r="G227" s="63"/>
      <c r="H227" s="63"/>
      <c r="I227" s="63"/>
      <c r="J227" s="63"/>
      <c r="K227" s="63"/>
      <c r="L227" s="63"/>
      <c r="M227" s="63"/>
      <c r="N227" s="64"/>
      <c r="O227" s="54"/>
      <c r="P227" s="4"/>
    </row>
    <row r="228" spans="1:16" ht="15.6" hidden="1" customHeight="1">
      <c r="A228" s="52"/>
      <c r="B228" s="74"/>
      <c r="C228" s="1"/>
      <c r="D228" s="1" t="s">
        <v>17</v>
      </c>
      <c r="E228" s="65"/>
      <c r="F228" s="66"/>
      <c r="G228" s="66"/>
      <c r="H228" s="66"/>
      <c r="I228" s="66"/>
      <c r="J228" s="66"/>
      <c r="K228" s="66"/>
      <c r="L228" s="66"/>
      <c r="M228" s="66"/>
      <c r="N228" s="67"/>
      <c r="O228" s="54"/>
      <c r="P228" s="4"/>
    </row>
    <row r="229" spans="1:16" s="11" customFormat="1">
      <c r="A229" s="52"/>
      <c r="B229" s="74" t="s">
        <v>36</v>
      </c>
      <c r="C229" s="68" t="s">
        <v>64</v>
      </c>
      <c r="D229" s="10" t="s">
        <v>11</v>
      </c>
      <c r="E229" s="2">
        <f>SUM(E230:E235)</f>
        <v>800</v>
      </c>
      <c r="F229" s="2">
        <f t="shared" ref="F229:N229" si="73">SUM(F230:F235)</f>
        <v>0</v>
      </c>
      <c r="G229" s="2">
        <f t="shared" si="73"/>
        <v>600</v>
      </c>
      <c r="H229" s="2">
        <f t="shared" si="73"/>
        <v>0</v>
      </c>
      <c r="I229" s="2">
        <f t="shared" si="73"/>
        <v>100</v>
      </c>
      <c r="J229" s="2">
        <f t="shared" si="73"/>
        <v>0</v>
      </c>
      <c r="K229" s="2">
        <f t="shared" si="73"/>
        <v>100</v>
      </c>
      <c r="L229" s="2">
        <f t="shared" si="73"/>
        <v>0</v>
      </c>
      <c r="M229" s="2">
        <f t="shared" si="73"/>
        <v>0</v>
      </c>
      <c r="N229" s="2">
        <f t="shared" si="73"/>
        <v>0</v>
      </c>
      <c r="O229" s="54"/>
      <c r="P229" s="4"/>
    </row>
    <row r="230" spans="1:16" s="28" customFormat="1">
      <c r="A230" s="52"/>
      <c r="B230" s="74"/>
      <c r="C230" s="69"/>
      <c r="D230" s="1" t="s">
        <v>12</v>
      </c>
      <c r="E230" s="2">
        <f>G230+I230+K230+M230</f>
        <v>800</v>
      </c>
      <c r="F230" s="2">
        <f>H230+J230+L230+N230</f>
        <v>0</v>
      </c>
      <c r="G230" s="3">
        <f>600+H230</f>
        <v>600</v>
      </c>
      <c r="H230" s="3">
        <v>0</v>
      </c>
      <c r="I230" s="3">
        <v>100</v>
      </c>
      <c r="J230" s="3">
        <v>0</v>
      </c>
      <c r="K230" s="3">
        <v>100</v>
      </c>
      <c r="L230" s="3">
        <v>0</v>
      </c>
      <c r="M230" s="3">
        <v>0</v>
      </c>
      <c r="N230" s="3">
        <f>M230</f>
        <v>0</v>
      </c>
      <c r="O230" s="54"/>
      <c r="P230" s="39"/>
    </row>
    <row r="231" spans="1:16">
      <c r="A231" s="52"/>
      <c r="B231" s="74"/>
      <c r="C231" s="76"/>
      <c r="D231" s="1" t="s">
        <v>13</v>
      </c>
      <c r="E231" s="59" t="s">
        <v>58</v>
      </c>
      <c r="F231" s="60"/>
      <c r="G231" s="60"/>
      <c r="H231" s="60"/>
      <c r="I231" s="60"/>
      <c r="J231" s="60"/>
      <c r="K231" s="60"/>
      <c r="L231" s="60"/>
      <c r="M231" s="60"/>
      <c r="N231" s="61"/>
      <c r="O231" s="54"/>
      <c r="P231" s="4"/>
    </row>
    <row r="232" spans="1:16" ht="15.6" hidden="1" customHeight="1">
      <c r="A232" s="52"/>
      <c r="B232" s="74"/>
      <c r="C232" s="1"/>
      <c r="D232" s="1" t="s">
        <v>14</v>
      </c>
      <c r="E232" s="62"/>
      <c r="F232" s="63"/>
      <c r="G232" s="63"/>
      <c r="H232" s="63"/>
      <c r="I232" s="63"/>
      <c r="J232" s="63"/>
      <c r="K232" s="63"/>
      <c r="L232" s="63"/>
      <c r="M232" s="63"/>
      <c r="N232" s="64"/>
      <c r="O232" s="54"/>
      <c r="P232" s="4"/>
    </row>
    <row r="233" spans="1:16" ht="15.6" hidden="1" customHeight="1">
      <c r="A233" s="52"/>
      <c r="B233" s="74"/>
      <c r="C233" s="1"/>
      <c r="D233" s="1" t="s">
        <v>15</v>
      </c>
      <c r="E233" s="62"/>
      <c r="F233" s="63"/>
      <c r="G233" s="63"/>
      <c r="H233" s="63"/>
      <c r="I233" s="63"/>
      <c r="J233" s="63"/>
      <c r="K233" s="63"/>
      <c r="L233" s="63"/>
      <c r="M233" s="63"/>
      <c r="N233" s="64"/>
      <c r="O233" s="54"/>
      <c r="P233" s="4"/>
    </row>
    <row r="234" spans="1:16" ht="15.6" hidden="1" customHeight="1">
      <c r="A234" s="52"/>
      <c r="B234" s="74"/>
      <c r="C234" s="1"/>
      <c r="D234" s="1" t="s">
        <v>16</v>
      </c>
      <c r="E234" s="62"/>
      <c r="F234" s="63"/>
      <c r="G234" s="63"/>
      <c r="H234" s="63"/>
      <c r="I234" s="63"/>
      <c r="J234" s="63"/>
      <c r="K234" s="63"/>
      <c r="L234" s="63"/>
      <c r="M234" s="63"/>
      <c r="N234" s="64"/>
      <c r="O234" s="54"/>
      <c r="P234" s="4"/>
    </row>
    <row r="235" spans="1:16" ht="15.6" hidden="1" customHeight="1">
      <c r="A235" s="52"/>
      <c r="B235" s="74"/>
      <c r="C235" s="1"/>
      <c r="D235" s="1" t="s">
        <v>17</v>
      </c>
      <c r="E235" s="65"/>
      <c r="F235" s="66"/>
      <c r="G235" s="66"/>
      <c r="H235" s="66"/>
      <c r="I235" s="66"/>
      <c r="J235" s="66"/>
      <c r="K235" s="66"/>
      <c r="L235" s="66"/>
      <c r="M235" s="66"/>
      <c r="N235" s="67"/>
      <c r="O235" s="54"/>
      <c r="P235" s="4"/>
    </row>
    <row r="236" spans="1:16" s="11" customFormat="1">
      <c r="A236" s="52"/>
      <c r="B236" s="74" t="s">
        <v>37</v>
      </c>
      <c r="C236" s="68" t="s">
        <v>64</v>
      </c>
      <c r="D236" s="10" t="s">
        <v>11</v>
      </c>
      <c r="E236" s="2">
        <f t="shared" ref="E236:N236" si="74">SUM(E237:E242)</f>
        <v>1940</v>
      </c>
      <c r="F236" s="2">
        <f t="shared" si="74"/>
        <v>940</v>
      </c>
      <c r="G236" s="2">
        <f t="shared" si="74"/>
        <v>1690</v>
      </c>
      <c r="H236" s="2">
        <f t="shared" si="74"/>
        <v>890</v>
      </c>
      <c r="I236" s="2">
        <f t="shared" si="74"/>
        <v>0</v>
      </c>
      <c r="J236" s="2">
        <f t="shared" si="74"/>
        <v>0</v>
      </c>
      <c r="K236" s="2">
        <f t="shared" si="74"/>
        <v>200</v>
      </c>
      <c r="L236" s="2">
        <f t="shared" si="74"/>
        <v>0</v>
      </c>
      <c r="M236" s="2">
        <f t="shared" si="74"/>
        <v>50</v>
      </c>
      <c r="N236" s="2">
        <f t="shared" si="74"/>
        <v>50</v>
      </c>
      <c r="O236" s="54"/>
      <c r="P236" s="4"/>
    </row>
    <row r="237" spans="1:16" s="28" customFormat="1" ht="24" customHeight="1">
      <c r="A237" s="52"/>
      <c r="B237" s="74"/>
      <c r="C237" s="69"/>
      <c r="D237" s="1" t="s">
        <v>12</v>
      </c>
      <c r="E237" s="2">
        <f>G237+I237+K237+M237</f>
        <v>1940</v>
      </c>
      <c r="F237" s="2">
        <f>H237+J237+L237+N237</f>
        <v>940</v>
      </c>
      <c r="G237" s="3">
        <f>800+H237</f>
        <v>1690</v>
      </c>
      <c r="H237" s="3">
        <f>890</f>
        <v>890</v>
      </c>
      <c r="I237" s="3">
        <v>0</v>
      </c>
      <c r="J237" s="3">
        <v>0</v>
      </c>
      <c r="K237" s="3">
        <f>200</f>
        <v>200</v>
      </c>
      <c r="L237" s="3">
        <v>0</v>
      </c>
      <c r="M237" s="3">
        <v>50</v>
      </c>
      <c r="N237" s="3">
        <v>50</v>
      </c>
      <c r="O237" s="54"/>
      <c r="P237" s="39"/>
    </row>
    <row r="238" spans="1:16" ht="50.45" customHeight="1">
      <c r="A238" s="52"/>
      <c r="B238" s="74"/>
      <c r="C238" s="76"/>
      <c r="D238" s="1" t="s">
        <v>13</v>
      </c>
      <c r="E238" s="59" t="s">
        <v>58</v>
      </c>
      <c r="F238" s="60"/>
      <c r="G238" s="60"/>
      <c r="H238" s="60"/>
      <c r="I238" s="60"/>
      <c r="J238" s="60"/>
      <c r="K238" s="60"/>
      <c r="L238" s="60"/>
      <c r="M238" s="60"/>
      <c r="N238" s="61"/>
      <c r="O238" s="54"/>
      <c r="P238" s="4"/>
    </row>
    <row r="239" spans="1:16" ht="15.6" hidden="1" customHeight="1">
      <c r="A239" s="52"/>
      <c r="B239" s="74"/>
      <c r="C239" s="1"/>
      <c r="D239" s="1" t="s">
        <v>14</v>
      </c>
      <c r="E239" s="62"/>
      <c r="F239" s="63"/>
      <c r="G239" s="63"/>
      <c r="H239" s="63"/>
      <c r="I239" s="63"/>
      <c r="J239" s="63"/>
      <c r="K239" s="63"/>
      <c r="L239" s="63"/>
      <c r="M239" s="63"/>
      <c r="N239" s="64"/>
      <c r="O239" s="54"/>
      <c r="P239" s="4"/>
    </row>
    <row r="240" spans="1:16" ht="15.6" hidden="1" customHeight="1">
      <c r="A240" s="52"/>
      <c r="B240" s="74"/>
      <c r="C240" s="1"/>
      <c r="D240" s="1" t="s">
        <v>15</v>
      </c>
      <c r="E240" s="62"/>
      <c r="F240" s="63"/>
      <c r="G240" s="63"/>
      <c r="H240" s="63"/>
      <c r="I240" s="63"/>
      <c r="J240" s="63"/>
      <c r="K240" s="63"/>
      <c r="L240" s="63"/>
      <c r="M240" s="63"/>
      <c r="N240" s="64"/>
      <c r="O240" s="54"/>
      <c r="P240" s="4"/>
    </row>
    <row r="241" spans="1:16" ht="15.6" hidden="1" customHeight="1">
      <c r="A241" s="52"/>
      <c r="B241" s="74"/>
      <c r="C241" s="1"/>
      <c r="D241" s="1" t="s">
        <v>16</v>
      </c>
      <c r="E241" s="62"/>
      <c r="F241" s="63"/>
      <c r="G241" s="63"/>
      <c r="H241" s="63"/>
      <c r="I241" s="63"/>
      <c r="J241" s="63"/>
      <c r="K241" s="63"/>
      <c r="L241" s="63"/>
      <c r="M241" s="63"/>
      <c r="N241" s="64"/>
      <c r="O241" s="54"/>
      <c r="P241" s="4"/>
    </row>
    <row r="242" spans="1:16" ht="15.6" hidden="1" customHeight="1">
      <c r="A242" s="52"/>
      <c r="B242" s="74"/>
      <c r="C242" s="1"/>
      <c r="D242" s="1" t="s">
        <v>17</v>
      </c>
      <c r="E242" s="65"/>
      <c r="F242" s="66"/>
      <c r="G242" s="66"/>
      <c r="H242" s="66"/>
      <c r="I242" s="66"/>
      <c r="J242" s="66"/>
      <c r="K242" s="66"/>
      <c r="L242" s="66"/>
      <c r="M242" s="66"/>
      <c r="N242" s="67"/>
      <c r="O242" s="54"/>
      <c r="P242" s="4"/>
    </row>
    <row r="243" spans="1:16" s="11" customFormat="1">
      <c r="A243" s="52"/>
      <c r="B243" s="75" t="s">
        <v>40</v>
      </c>
      <c r="C243" s="22"/>
      <c r="D243" s="10" t="s">
        <v>11</v>
      </c>
      <c r="E243" s="2">
        <f t="shared" ref="E243:N243" si="75">SUM(E244:E249)</f>
        <v>3088.8999999999996</v>
      </c>
      <c r="F243" s="2">
        <f t="shared" si="75"/>
        <v>1504.4</v>
      </c>
      <c r="G243" s="2">
        <f t="shared" si="75"/>
        <v>3040.8999999999996</v>
      </c>
      <c r="H243" s="2">
        <f t="shared" si="75"/>
        <v>1456.4</v>
      </c>
      <c r="I243" s="2">
        <f t="shared" si="75"/>
        <v>0</v>
      </c>
      <c r="J243" s="2">
        <f t="shared" si="75"/>
        <v>0</v>
      </c>
      <c r="K243" s="2">
        <f t="shared" si="75"/>
        <v>0</v>
      </c>
      <c r="L243" s="2">
        <f t="shared" si="75"/>
        <v>0</v>
      </c>
      <c r="M243" s="2">
        <f t="shared" si="75"/>
        <v>48</v>
      </c>
      <c r="N243" s="2">
        <f t="shared" si="75"/>
        <v>48</v>
      </c>
      <c r="O243" s="54"/>
      <c r="P243" s="4"/>
    </row>
    <row r="244" spans="1:16" s="28" customFormat="1" ht="25.5">
      <c r="A244" s="52"/>
      <c r="B244" s="75"/>
      <c r="C244" s="17" t="s">
        <v>80</v>
      </c>
      <c r="D244" s="1" t="s">
        <v>12</v>
      </c>
      <c r="E244" s="2">
        <f t="shared" ref="E244:F248" si="76">G244+I244+K244+M244</f>
        <v>362.1</v>
      </c>
      <c r="F244" s="2">
        <f t="shared" si="76"/>
        <v>248</v>
      </c>
      <c r="G244" s="3">
        <v>314.10000000000002</v>
      </c>
      <c r="H244" s="3">
        <v>200</v>
      </c>
      <c r="I244" s="3"/>
      <c r="J244" s="3">
        <v>0</v>
      </c>
      <c r="K244" s="3">
        <v>0</v>
      </c>
      <c r="L244" s="3">
        <v>0</v>
      </c>
      <c r="M244" s="3">
        <v>48</v>
      </c>
      <c r="N244" s="3">
        <f>M244</f>
        <v>48</v>
      </c>
      <c r="O244" s="54"/>
      <c r="P244" s="39"/>
    </row>
    <row r="245" spans="1:16" ht="25.5" customHeight="1">
      <c r="A245" s="52"/>
      <c r="B245" s="75"/>
      <c r="C245" s="70" t="s">
        <v>63</v>
      </c>
      <c r="D245" s="1" t="s">
        <v>13</v>
      </c>
      <c r="E245" s="2">
        <f t="shared" si="76"/>
        <v>1470.4</v>
      </c>
      <c r="F245" s="2">
        <f t="shared" si="76"/>
        <v>314.10000000000002</v>
      </c>
      <c r="G245" s="3">
        <f>314.1+1156.3</f>
        <v>1470.4</v>
      </c>
      <c r="H245" s="3">
        <v>314.10000000000002</v>
      </c>
      <c r="I245" s="3">
        <v>0</v>
      </c>
      <c r="J245" s="3">
        <v>0</v>
      </c>
      <c r="K245" s="3">
        <f>1.2*K244</f>
        <v>0</v>
      </c>
      <c r="L245" s="3">
        <v>0</v>
      </c>
      <c r="M245" s="3">
        <v>0</v>
      </c>
      <c r="N245" s="3">
        <v>0</v>
      </c>
      <c r="O245" s="54"/>
      <c r="P245" s="39"/>
    </row>
    <row r="246" spans="1:16" ht="15.6" customHeight="1">
      <c r="A246" s="52"/>
      <c r="B246" s="75"/>
      <c r="C246" s="70"/>
      <c r="D246" s="1" t="s">
        <v>14</v>
      </c>
      <c r="E246" s="2">
        <f t="shared" si="76"/>
        <v>314.10000000000002</v>
      </c>
      <c r="F246" s="2">
        <f t="shared" si="76"/>
        <v>314.10000000000002</v>
      </c>
      <c r="G246" s="3">
        <f>H246</f>
        <v>314.10000000000002</v>
      </c>
      <c r="H246" s="3">
        <v>314.10000000000002</v>
      </c>
      <c r="I246" s="3">
        <v>0</v>
      </c>
      <c r="J246" s="3">
        <v>0</v>
      </c>
      <c r="K246" s="3">
        <f>1.2*K245</f>
        <v>0</v>
      </c>
      <c r="L246" s="3">
        <v>0</v>
      </c>
      <c r="M246" s="3">
        <v>0</v>
      </c>
      <c r="N246" s="3">
        <v>0</v>
      </c>
      <c r="O246" s="54"/>
      <c r="P246" s="4"/>
    </row>
    <row r="247" spans="1:16">
      <c r="A247" s="52"/>
      <c r="B247" s="75"/>
      <c r="C247" s="70"/>
      <c r="D247" s="1" t="s">
        <v>15</v>
      </c>
      <c r="E247" s="2">
        <f t="shared" si="76"/>
        <v>314.10000000000002</v>
      </c>
      <c r="F247" s="2">
        <f t="shared" si="76"/>
        <v>0</v>
      </c>
      <c r="G247" s="3">
        <f>G246</f>
        <v>314.10000000000002</v>
      </c>
      <c r="H247" s="3">
        <f>314.1-314.1</f>
        <v>0</v>
      </c>
      <c r="I247" s="3">
        <v>0</v>
      </c>
      <c r="J247" s="3">
        <v>0</v>
      </c>
      <c r="K247" s="3">
        <f>1.2*K246</f>
        <v>0</v>
      </c>
      <c r="L247" s="3">
        <v>0</v>
      </c>
      <c r="M247" s="3">
        <v>0</v>
      </c>
      <c r="N247" s="3">
        <v>0</v>
      </c>
      <c r="O247" s="54"/>
      <c r="P247" s="4"/>
    </row>
    <row r="248" spans="1:16">
      <c r="A248" s="52"/>
      <c r="B248" s="75"/>
      <c r="C248" s="70"/>
      <c r="D248" s="1" t="s">
        <v>16</v>
      </c>
      <c r="E248" s="2">
        <f t="shared" si="76"/>
        <v>314.10000000000002</v>
      </c>
      <c r="F248" s="2">
        <f t="shared" si="76"/>
        <v>314.10000000000002</v>
      </c>
      <c r="G248" s="3">
        <f>G247</f>
        <v>314.10000000000002</v>
      </c>
      <c r="H248" s="3">
        <v>314.10000000000002</v>
      </c>
      <c r="I248" s="3">
        <v>0</v>
      </c>
      <c r="J248" s="3">
        <v>0</v>
      </c>
      <c r="K248" s="3">
        <f>1.2*K247</f>
        <v>0</v>
      </c>
      <c r="L248" s="3">
        <v>0</v>
      </c>
      <c r="M248" s="3">
        <v>0</v>
      </c>
      <c r="N248" s="3">
        <v>0</v>
      </c>
      <c r="O248" s="54"/>
      <c r="P248" s="4"/>
    </row>
    <row r="249" spans="1:16">
      <c r="A249" s="52"/>
      <c r="B249" s="75"/>
      <c r="C249" s="70"/>
      <c r="D249" s="1" t="s">
        <v>17</v>
      </c>
      <c r="E249" s="2">
        <f>G249+I249+K249+M249</f>
        <v>314.10000000000002</v>
      </c>
      <c r="F249" s="2">
        <f>H249+J249+L249+N249</f>
        <v>314.10000000000002</v>
      </c>
      <c r="G249" s="3">
        <f>G248</f>
        <v>314.10000000000002</v>
      </c>
      <c r="H249" s="3">
        <v>314.10000000000002</v>
      </c>
      <c r="I249" s="3">
        <v>0</v>
      </c>
      <c r="J249" s="3">
        <v>0</v>
      </c>
      <c r="K249" s="3">
        <f>1.2*K248</f>
        <v>0</v>
      </c>
      <c r="L249" s="3">
        <v>0</v>
      </c>
      <c r="M249" s="3">
        <v>0</v>
      </c>
      <c r="N249" s="3">
        <v>0</v>
      </c>
      <c r="O249" s="54"/>
      <c r="P249" s="4"/>
    </row>
    <row r="250" spans="1:16" s="11" customFormat="1" ht="15.75" customHeight="1">
      <c r="A250" s="51"/>
      <c r="B250" s="57" t="s">
        <v>104</v>
      </c>
      <c r="C250" s="51"/>
      <c r="D250" s="10" t="s">
        <v>11</v>
      </c>
      <c r="E250" s="2">
        <f t="shared" ref="E250:N250" si="77">SUM(E251:E256)</f>
        <v>7312.6</v>
      </c>
      <c r="F250" s="2">
        <f t="shared" si="77"/>
        <v>7312.6</v>
      </c>
      <c r="G250" s="2">
        <f t="shared" si="77"/>
        <v>7312.6</v>
      </c>
      <c r="H250" s="2">
        <f t="shared" si="77"/>
        <v>7312.6</v>
      </c>
      <c r="I250" s="2">
        <f t="shared" si="77"/>
        <v>0</v>
      </c>
      <c r="J250" s="2">
        <f t="shared" si="77"/>
        <v>0</v>
      </c>
      <c r="K250" s="2">
        <f t="shared" si="77"/>
        <v>0</v>
      </c>
      <c r="L250" s="2">
        <f t="shared" si="77"/>
        <v>0</v>
      </c>
      <c r="M250" s="2">
        <f t="shared" si="77"/>
        <v>0</v>
      </c>
      <c r="N250" s="2">
        <f t="shared" si="77"/>
        <v>0</v>
      </c>
      <c r="O250" s="54" t="s">
        <v>99</v>
      </c>
      <c r="P250" s="4"/>
    </row>
    <row r="251" spans="1:16" s="28" customFormat="1">
      <c r="A251" s="52"/>
      <c r="B251" s="56"/>
      <c r="C251" s="52"/>
      <c r="D251" s="1" t="s">
        <v>12</v>
      </c>
      <c r="E251" s="2">
        <f t="shared" ref="E251:F256" si="78">G251+I251+K251+M251</f>
        <v>0</v>
      </c>
      <c r="F251" s="2">
        <f t="shared" si="78"/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54"/>
      <c r="P251" s="39"/>
    </row>
    <row r="252" spans="1:16">
      <c r="A252" s="52"/>
      <c r="B252" s="56"/>
      <c r="C252" s="52"/>
      <c r="D252" s="1" t="s">
        <v>13</v>
      </c>
      <c r="E252" s="2">
        <f t="shared" si="78"/>
        <v>0</v>
      </c>
      <c r="F252" s="2">
        <f t="shared" si="78"/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54"/>
      <c r="P252" s="4"/>
    </row>
    <row r="253" spans="1:16" ht="15" customHeight="1">
      <c r="A253" s="52"/>
      <c r="B253" s="56"/>
      <c r="C253" s="53"/>
      <c r="D253" s="1" t="s">
        <v>14</v>
      </c>
      <c r="E253" s="2">
        <f t="shared" si="78"/>
        <v>0</v>
      </c>
      <c r="F253" s="2">
        <f t="shared" si="78"/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54"/>
      <c r="P253" s="4"/>
    </row>
    <row r="254" spans="1:16">
      <c r="A254" s="52"/>
      <c r="B254" s="56"/>
      <c r="C254" s="55" t="s">
        <v>93</v>
      </c>
      <c r="D254" s="1" t="s">
        <v>15</v>
      </c>
      <c r="E254" s="2">
        <f t="shared" si="78"/>
        <v>2504</v>
      </c>
      <c r="F254" s="2">
        <f t="shared" si="78"/>
        <v>2504</v>
      </c>
      <c r="G254" s="3">
        <f>2404.3+99.7</f>
        <v>2504</v>
      </c>
      <c r="H254" s="3">
        <f>G254</f>
        <v>2504</v>
      </c>
      <c r="I254" s="3">
        <v>0</v>
      </c>
      <c r="J254" s="3">
        <v>0</v>
      </c>
      <c r="K254" s="3">
        <f>K253</f>
        <v>0</v>
      </c>
      <c r="L254" s="3">
        <v>0</v>
      </c>
      <c r="M254" s="3">
        <v>0</v>
      </c>
      <c r="N254" s="3">
        <v>0</v>
      </c>
      <c r="O254" s="54"/>
      <c r="P254" s="4"/>
    </row>
    <row r="255" spans="1:16">
      <c r="A255" s="52"/>
      <c r="B255" s="56"/>
      <c r="C255" s="55"/>
      <c r="D255" s="1" t="s">
        <v>16</v>
      </c>
      <c r="E255" s="2">
        <f t="shared" si="78"/>
        <v>2404.3000000000002</v>
      </c>
      <c r="F255" s="2">
        <f t="shared" si="78"/>
        <v>2404.3000000000002</v>
      </c>
      <c r="G255" s="3">
        <v>2404.3000000000002</v>
      </c>
      <c r="H255" s="3">
        <f>G255</f>
        <v>2404.3000000000002</v>
      </c>
      <c r="I255" s="3">
        <v>0</v>
      </c>
      <c r="J255" s="3">
        <v>0</v>
      </c>
      <c r="K255" s="3">
        <f>K254</f>
        <v>0</v>
      </c>
      <c r="L255" s="3">
        <v>0</v>
      </c>
      <c r="M255" s="3">
        <v>0</v>
      </c>
      <c r="N255" s="3">
        <v>0</v>
      </c>
      <c r="O255" s="54"/>
      <c r="P255" s="4"/>
    </row>
    <row r="256" spans="1:16">
      <c r="A256" s="52"/>
      <c r="B256" s="58"/>
      <c r="C256" s="55"/>
      <c r="D256" s="1" t="s">
        <v>17</v>
      </c>
      <c r="E256" s="2">
        <f t="shared" si="78"/>
        <v>2404.3000000000002</v>
      </c>
      <c r="F256" s="2">
        <f t="shared" si="78"/>
        <v>2404.3000000000002</v>
      </c>
      <c r="G256" s="3">
        <v>2404.3000000000002</v>
      </c>
      <c r="H256" s="3">
        <f>G256</f>
        <v>2404.3000000000002</v>
      </c>
      <c r="I256" s="3">
        <v>0</v>
      </c>
      <c r="J256" s="3">
        <v>0</v>
      </c>
      <c r="K256" s="3">
        <f>K255</f>
        <v>0</v>
      </c>
      <c r="L256" s="3">
        <v>0</v>
      </c>
      <c r="M256" s="3">
        <v>0</v>
      </c>
      <c r="N256" s="3">
        <v>0</v>
      </c>
      <c r="O256" s="54"/>
      <c r="P256" s="4"/>
    </row>
    <row r="257" spans="1:16" s="11" customFormat="1" ht="15.75" customHeight="1">
      <c r="A257" s="51"/>
      <c r="B257" s="57" t="s">
        <v>105</v>
      </c>
      <c r="C257" s="51"/>
      <c r="D257" s="10" t="s">
        <v>11</v>
      </c>
      <c r="E257" s="2">
        <f t="shared" ref="E257:N257" si="79">SUM(E258:E263)</f>
        <v>6290.6</v>
      </c>
      <c r="F257" s="2">
        <f t="shared" si="79"/>
        <v>6290.6</v>
      </c>
      <c r="G257" s="2">
        <f t="shared" si="79"/>
        <v>6290.6</v>
      </c>
      <c r="H257" s="2">
        <f t="shared" si="79"/>
        <v>6290.6</v>
      </c>
      <c r="I257" s="2">
        <f t="shared" si="79"/>
        <v>0</v>
      </c>
      <c r="J257" s="2">
        <f t="shared" si="79"/>
        <v>0</v>
      </c>
      <c r="K257" s="2">
        <f t="shared" si="79"/>
        <v>0</v>
      </c>
      <c r="L257" s="2">
        <f t="shared" si="79"/>
        <v>0</v>
      </c>
      <c r="M257" s="2">
        <f t="shared" si="79"/>
        <v>0</v>
      </c>
      <c r="N257" s="2">
        <f t="shared" si="79"/>
        <v>0</v>
      </c>
      <c r="O257" s="54" t="s">
        <v>100</v>
      </c>
      <c r="P257" s="4"/>
    </row>
    <row r="258" spans="1:16" s="28" customFormat="1">
      <c r="A258" s="52"/>
      <c r="B258" s="56"/>
      <c r="C258" s="52"/>
      <c r="D258" s="1" t="s">
        <v>12</v>
      </c>
      <c r="E258" s="2">
        <f t="shared" ref="E258:F263" si="80">G258+I258+K258+M258</f>
        <v>0</v>
      </c>
      <c r="F258" s="2">
        <f t="shared" si="80"/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54"/>
      <c r="P258" s="39"/>
    </row>
    <row r="259" spans="1:16">
      <c r="A259" s="52"/>
      <c r="B259" s="56"/>
      <c r="C259" s="52"/>
      <c r="D259" s="1" t="s">
        <v>13</v>
      </c>
      <c r="E259" s="2">
        <f t="shared" si="80"/>
        <v>0</v>
      </c>
      <c r="F259" s="2">
        <f t="shared" si="80"/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54"/>
      <c r="P259" s="4"/>
    </row>
    <row r="260" spans="1:16" ht="15" customHeight="1">
      <c r="A260" s="52"/>
      <c r="B260" s="56"/>
      <c r="C260" s="53"/>
      <c r="D260" s="1" t="s">
        <v>14</v>
      </c>
      <c r="E260" s="2">
        <f t="shared" si="80"/>
        <v>0</v>
      </c>
      <c r="F260" s="2">
        <f t="shared" si="80"/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54"/>
      <c r="P260" s="4"/>
    </row>
    <row r="261" spans="1:16">
      <c r="A261" s="52"/>
      <c r="B261" s="56"/>
      <c r="C261" s="55" t="s">
        <v>93</v>
      </c>
      <c r="D261" s="1" t="s">
        <v>15</v>
      </c>
      <c r="E261" s="2">
        <f t="shared" si="80"/>
        <v>1999.6000000000001</v>
      </c>
      <c r="F261" s="2">
        <f t="shared" si="80"/>
        <v>1999.6000000000001</v>
      </c>
      <c r="G261" s="3">
        <f>H261</f>
        <v>1999.6000000000001</v>
      </c>
      <c r="H261" s="3">
        <f>2015.7-16.1</f>
        <v>1999.6000000000001</v>
      </c>
      <c r="I261" s="3">
        <v>0</v>
      </c>
      <c r="J261" s="3">
        <v>0</v>
      </c>
      <c r="K261" s="3">
        <f>K260</f>
        <v>0</v>
      </c>
      <c r="L261" s="3">
        <v>0</v>
      </c>
      <c r="M261" s="3">
        <v>0</v>
      </c>
      <c r="N261" s="3">
        <v>0</v>
      </c>
      <c r="O261" s="54"/>
      <c r="P261" s="4"/>
    </row>
    <row r="262" spans="1:16">
      <c r="A262" s="52"/>
      <c r="B262" s="56"/>
      <c r="C262" s="55"/>
      <c r="D262" s="1" t="s">
        <v>16</v>
      </c>
      <c r="E262" s="2">
        <f t="shared" si="80"/>
        <v>2145.5</v>
      </c>
      <c r="F262" s="2">
        <f t="shared" si="80"/>
        <v>2145.5</v>
      </c>
      <c r="G262" s="3">
        <f>H262</f>
        <v>2145.5</v>
      </c>
      <c r="H262" s="3">
        <v>2145.5</v>
      </c>
      <c r="I262" s="3">
        <v>0</v>
      </c>
      <c r="J262" s="3">
        <v>0</v>
      </c>
      <c r="K262" s="3">
        <f>K261</f>
        <v>0</v>
      </c>
      <c r="L262" s="3">
        <v>0</v>
      </c>
      <c r="M262" s="3">
        <v>0</v>
      </c>
      <c r="N262" s="3">
        <v>0</v>
      </c>
      <c r="O262" s="54"/>
      <c r="P262" s="4"/>
    </row>
    <row r="263" spans="1:16">
      <c r="A263" s="52"/>
      <c r="B263" s="58"/>
      <c r="C263" s="55"/>
      <c r="D263" s="1" t="s">
        <v>17</v>
      </c>
      <c r="E263" s="2">
        <f t="shared" si="80"/>
        <v>2145.5</v>
      </c>
      <c r="F263" s="2">
        <f t="shared" si="80"/>
        <v>2145.5</v>
      </c>
      <c r="G263" s="3">
        <f>H263</f>
        <v>2145.5</v>
      </c>
      <c r="H263" s="3">
        <v>2145.5</v>
      </c>
      <c r="I263" s="3">
        <v>0</v>
      </c>
      <c r="J263" s="3">
        <v>0</v>
      </c>
      <c r="K263" s="3">
        <f>K262</f>
        <v>0</v>
      </c>
      <c r="L263" s="3">
        <v>0</v>
      </c>
      <c r="M263" s="3">
        <v>0</v>
      </c>
      <c r="N263" s="3">
        <v>0</v>
      </c>
      <c r="O263" s="54"/>
      <c r="P263" s="4"/>
    </row>
    <row r="264" spans="1:16" s="11" customFormat="1" ht="15.75" customHeight="1">
      <c r="A264" s="51"/>
      <c r="B264" s="56" t="s">
        <v>106</v>
      </c>
      <c r="C264" s="51"/>
      <c r="D264" s="10" t="s">
        <v>11</v>
      </c>
      <c r="E264" s="2">
        <f t="shared" ref="E264:N264" si="81">SUM(E265:E270)</f>
        <v>6586.3</v>
      </c>
      <c r="F264" s="2">
        <f t="shared" si="81"/>
        <v>6586.3</v>
      </c>
      <c r="G264" s="2">
        <f t="shared" si="81"/>
        <v>6586.3</v>
      </c>
      <c r="H264" s="2">
        <f t="shared" si="81"/>
        <v>6586.3</v>
      </c>
      <c r="I264" s="2">
        <f t="shared" si="81"/>
        <v>0</v>
      </c>
      <c r="J264" s="2">
        <f t="shared" si="81"/>
        <v>0</v>
      </c>
      <c r="K264" s="2">
        <f t="shared" si="81"/>
        <v>0</v>
      </c>
      <c r="L264" s="2">
        <f t="shared" si="81"/>
        <v>0</v>
      </c>
      <c r="M264" s="2">
        <f t="shared" si="81"/>
        <v>0</v>
      </c>
      <c r="N264" s="2">
        <f t="shared" si="81"/>
        <v>0</v>
      </c>
      <c r="O264" s="54" t="s">
        <v>101</v>
      </c>
      <c r="P264" s="4"/>
    </row>
    <row r="265" spans="1:16" s="28" customFormat="1">
      <c r="A265" s="52"/>
      <c r="B265" s="56"/>
      <c r="C265" s="52"/>
      <c r="D265" s="1" t="s">
        <v>12</v>
      </c>
      <c r="E265" s="2">
        <f t="shared" ref="E265:F270" si="82">G265+I265+K265+M265</f>
        <v>0</v>
      </c>
      <c r="F265" s="2">
        <f t="shared" si="82"/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54"/>
      <c r="P265" s="39"/>
    </row>
    <row r="266" spans="1:16">
      <c r="A266" s="52"/>
      <c r="B266" s="56"/>
      <c r="C266" s="52"/>
      <c r="D266" s="1" t="s">
        <v>13</v>
      </c>
      <c r="E266" s="2">
        <f t="shared" si="82"/>
        <v>0</v>
      </c>
      <c r="F266" s="2">
        <f t="shared" si="82"/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54"/>
      <c r="P266" s="4"/>
    </row>
    <row r="267" spans="1:16" ht="15" customHeight="1">
      <c r="A267" s="52"/>
      <c r="B267" s="56"/>
      <c r="C267" s="53"/>
      <c r="D267" s="1" t="s">
        <v>14</v>
      </c>
      <c r="E267" s="2">
        <f t="shared" si="82"/>
        <v>0</v>
      </c>
      <c r="F267" s="2">
        <f t="shared" si="82"/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54"/>
      <c r="P267" s="4"/>
    </row>
    <row r="268" spans="1:16">
      <c r="A268" s="52"/>
      <c r="B268" s="56"/>
      <c r="C268" s="55" t="s">
        <v>93</v>
      </c>
      <c r="D268" s="1" t="s">
        <v>15</v>
      </c>
      <c r="E268" s="2">
        <f t="shared" si="82"/>
        <v>2486.3000000000002</v>
      </c>
      <c r="F268" s="2">
        <f t="shared" si="82"/>
        <v>2486.3000000000002</v>
      </c>
      <c r="G268" s="3">
        <f>H268</f>
        <v>2486.3000000000002</v>
      </c>
      <c r="H268" s="3">
        <v>2486.3000000000002</v>
      </c>
      <c r="I268" s="3">
        <v>0</v>
      </c>
      <c r="J268" s="3">
        <v>0</v>
      </c>
      <c r="K268" s="3">
        <f>K267</f>
        <v>0</v>
      </c>
      <c r="L268" s="3">
        <v>0</v>
      </c>
      <c r="M268" s="3">
        <v>0</v>
      </c>
      <c r="N268" s="3">
        <v>0</v>
      </c>
      <c r="O268" s="54"/>
      <c r="P268" s="4"/>
    </row>
    <row r="269" spans="1:16">
      <c r="A269" s="52"/>
      <c r="B269" s="56"/>
      <c r="C269" s="55"/>
      <c r="D269" s="1" t="s">
        <v>16</v>
      </c>
      <c r="E269" s="2">
        <f t="shared" si="82"/>
        <v>2050</v>
      </c>
      <c r="F269" s="2">
        <f t="shared" si="82"/>
        <v>2050</v>
      </c>
      <c r="G269" s="3">
        <f>H269</f>
        <v>2050</v>
      </c>
      <c r="H269" s="3">
        <v>2050</v>
      </c>
      <c r="I269" s="3">
        <v>0</v>
      </c>
      <c r="J269" s="3">
        <v>0</v>
      </c>
      <c r="K269" s="3">
        <f>K268</f>
        <v>0</v>
      </c>
      <c r="L269" s="3">
        <v>0</v>
      </c>
      <c r="M269" s="3">
        <v>0</v>
      </c>
      <c r="N269" s="3">
        <v>0</v>
      </c>
      <c r="O269" s="54"/>
      <c r="P269" s="4"/>
    </row>
    <row r="270" spans="1:16">
      <c r="A270" s="52"/>
      <c r="B270" s="56"/>
      <c r="C270" s="55"/>
      <c r="D270" s="1" t="s">
        <v>17</v>
      </c>
      <c r="E270" s="2">
        <f t="shared" si="82"/>
        <v>2050</v>
      </c>
      <c r="F270" s="2">
        <f t="shared" si="82"/>
        <v>2050</v>
      </c>
      <c r="G270" s="3">
        <f>H270</f>
        <v>2050</v>
      </c>
      <c r="H270" s="3">
        <v>2050</v>
      </c>
      <c r="I270" s="3">
        <v>0</v>
      </c>
      <c r="J270" s="3">
        <v>0</v>
      </c>
      <c r="K270" s="3">
        <f>K269</f>
        <v>0</v>
      </c>
      <c r="L270" s="3">
        <v>0</v>
      </c>
      <c r="M270" s="3">
        <v>0</v>
      </c>
      <c r="N270" s="3">
        <v>0</v>
      </c>
      <c r="O270" s="54"/>
      <c r="P270" s="4"/>
    </row>
    <row r="271" spans="1:16" s="11" customFormat="1" ht="15.75" customHeight="1">
      <c r="A271" s="51"/>
      <c r="B271" s="74" t="s">
        <v>107</v>
      </c>
      <c r="C271" s="51"/>
      <c r="D271" s="10" t="s">
        <v>11</v>
      </c>
      <c r="E271" s="2">
        <f t="shared" ref="E271:N271" si="83">SUM(E272:E277)</f>
        <v>9763.7000000000007</v>
      </c>
      <c r="F271" s="2">
        <f t="shared" si="83"/>
        <v>9763.7000000000007</v>
      </c>
      <c r="G271" s="2">
        <f t="shared" si="83"/>
        <v>9763.7000000000007</v>
      </c>
      <c r="H271" s="2">
        <f t="shared" si="83"/>
        <v>9763.7000000000007</v>
      </c>
      <c r="I271" s="2">
        <f t="shared" si="83"/>
        <v>0</v>
      </c>
      <c r="J271" s="2">
        <f t="shared" si="83"/>
        <v>0</v>
      </c>
      <c r="K271" s="2">
        <f t="shared" si="83"/>
        <v>0</v>
      </c>
      <c r="L271" s="2">
        <f t="shared" si="83"/>
        <v>0</v>
      </c>
      <c r="M271" s="2">
        <f t="shared" si="83"/>
        <v>0</v>
      </c>
      <c r="N271" s="2">
        <f t="shared" si="83"/>
        <v>0</v>
      </c>
      <c r="O271" s="54" t="s">
        <v>102</v>
      </c>
      <c r="P271" s="4"/>
    </row>
    <row r="272" spans="1:16" s="28" customFormat="1">
      <c r="A272" s="52"/>
      <c r="B272" s="74"/>
      <c r="C272" s="52"/>
      <c r="D272" s="1" t="s">
        <v>12</v>
      </c>
      <c r="E272" s="2">
        <f t="shared" ref="E272:F277" si="84">G272+I272+K272+M272</f>
        <v>0</v>
      </c>
      <c r="F272" s="2">
        <f t="shared" si="84"/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54"/>
      <c r="P272" s="39"/>
    </row>
    <row r="273" spans="1:24">
      <c r="A273" s="52"/>
      <c r="B273" s="74"/>
      <c r="C273" s="52"/>
      <c r="D273" s="1" t="s">
        <v>13</v>
      </c>
      <c r="E273" s="2">
        <f t="shared" si="84"/>
        <v>0</v>
      </c>
      <c r="F273" s="2">
        <f t="shared" si="84"/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54"/>
      <c r="P273" s="4"/>
    </row>
    <row r="274" spans="1:24" ht="15" customHeight="1">
      <c r="A274" s="52"/>
      <c r="B274" s="74"/>
      <c r="C274" s="53"/>
      <c r="D274" s="1" t="s">
        <v>14</v>
      </c>
      <c r="E274" s="2">
        <f t="shared" si="84"/>
        <v>0</v>
      </c>
      <c r="F274" s="2">
        <f t="shared" si="84"/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54"/>
      <c r="P274" s="4"/>
    </row>
    <row r="275" spans="1:24">
      <c r="A275" s="52"/>
      <c r="B275" s="74"/>
      <c r="C275" s="55" t="s">
        <v>93</v>
      </c>
      <c r="D275" s="1" t="s">
        <v>15</v>
      </c>
      <c r="E275" s="2">
        <f t="shared" si="84"/>
        <v>3504.9</v>
      </c>
      <c r="F275" s="2">
        <f t="shared" si="84"/>
        <v>3504.9</v>
      </c>
      <c r="G275" s="3">
        <f>H275</f>
        <v>3504.9</v>
      </c>
      <c r="H275" s="3">
        <v>3504.9</v>
      </c>
      <c r="I275" s="3">
        <v>0</v>
      </c>
      <c r="J275" s="3">
        <v>0</v>
      </c>
      <c r="K275" s="3">
        <f>K274</f>
        <v>0</v>
      </c>
      <c r="L275" s="3">
        <v>0</v>
      </c>
      <c r="M275" s="3">
        <v>0</v>
      </c>
      <c r="N275" s="3">
        <v>0</v>
      </c>
      <c r="O275" s="54"/>
      <c r="P275" s="4"/>
    </row>
    <row r="276" spans="1:24">
      <c r="A276" s="52"/>
      <c r="B276" s="74"/>
      <c r="C276" s="55"/>
      <c r="D276" s="1" t="s">
        <v>16</v>
      </c>
      <c r="E276" s="2">
        <f t="shared" si="84"/>
        <v>3129.4</v>
      </c>
      <c r="F276" s="2">
        <f t="shared" si="84"/>
        <v>3129.4</v>
      </c>
      <c r="G276" s="3">
        <f>H276</f>
        <v>3129.4</v>
      </c>
      <c r="H276" s="3">
        <v>3129.4</v>
      </c>
      <c r="I276" s="3">
        <v>0</v>
      </c>
      <c r="J276" s="3">
        <v>0</v>
      </c>
      <c r="K276" s="3">
        <f>K275</f>
        <v>0</v>
      </c>
      <c r="L276" s="3">
        <v>0</v>
      </c>
      <c r="M276" s="3">
        <v>0</v>
      </c>
      <c r="N276" s="3">
        <v>0</v>
      </c>
      <c r="O276" s="54"/>
      <c r="P276" s="4"/>
    </row>
    <row r="277" spans="1:24">
      <c r="A277" s="52"/>
      <c r="B277" s="74"/>
      <c r="C277" s="55"/>
      <c r="D277" s="1" t="s">
        <v>17</v>
      </c>
      <c r="E277" s="2">
        <f t="shared" si="84"/>
        <v>3129.4</v>
      </c>
      <c r="F277" s="2">
        <f t="shared" si="84"/>
        <v>3129.4</v>
      </c>
      <c r="G277" s="3">
        <f>H277</f>
        <v>3129.4</v>
      </c>
      <c r="H277" s="3">
        <v>3129.4</v>
      </c>
      <c r="I277" s="3">
        <v>0</v>
      </c>
      <c r="J277" s="3">
        <v>0</v>
      </c>
      <c r="K277" s="3">
        <f>K276</f>
        <v>0</v>
      </c>
      <c r="L277" s="3">
        <v>0</v>
      </c>
      <c r="M277" s="3">
        <v>0</v>
      </c>
      <c r="N277" s="3">
        <v>0</v>
      </c>
      <c r="O277" s="54"/>
      <c r="P277" s="4"/>
    </row>
    <row r="278" spans="1:24" hidden="1">
      <c r="A278" s="7"/>
      <c r="B278" s="13"/>
      <c r="C278" s="10"/>
      <c r="D278" s="10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71"/>
      <c r="P278" s="4"/>
    </row>
    <row r="279" spans="1:24" s="11" customFormat="1" ht="35.25" hidden="1" customHeight="1">
      <c r="A279" s="51"/>
      <c r="B279" s="87"/>
      <c r="C279" s="6"/>
      <c r="D279" s="10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72"/>
      <c r="P279" s="4"/>
    </row>
    <row r="280" spans="1:24" s="11" customFormat="1" ht="15.75" hidden="1" customHeight="1">
      <c r="A280" s="52"/>
      <c r="B280" s="87"/>
      <c r="C280" s="23"/>
      <c r="D280" s="1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72"/>
      <c r="P280" s="4"/>
    </row>
    <row r="281" spans="1:24" s="11" customFormat="1" ht="15.6" hidden="1" customHeight="1">
      <c r="A281" s="52"/>
      <c r="B281" s="87"/>
      <c r="C281" s="23"/>
      <c r="D281" s="1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72"/>
      <c r="P281" s="4"/>
      <c r="X281" s="35"/>
    </row>
    <row r="282" spans="1:24" s="11" customFormat="1" hidden="1">
      <c r="A282" s="52"/>
      <c r="B282" s="87"/>
      <c r="C282" s="90"/>
      <c r="D282" s="1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72"/>
      <c r="P282" s="4"/>
    </row>
    <row r="283" spans="1:24" s="11" customFormat="1" hidden="1">
      <c r="A283" s="52"/>
      <c r="B283" s="87"/>
      <c r="C283" s="90"/>
      <c r="D283" s="10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72"/>
      <c r="P283" s="4"/>
    </row>
    <row r="284" spans="1:24" s="11" customFormat="1" hidden="1">
      <c r="A284" s="52"/>
      <c r="B284" s="87"/>
      <c r="C284" s="90"/>
      <c r="D284" s="10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73"/>
      <c r="P284" s="4"/>
    </row>
    <row r="285" spans="1:24" s="11" customFormat="1" ht="15.75" hidden="1" customHeight="1">
      <c r="A285" s="52"/>
      <c r="B285" s="56"/>
      <c r="C285" s="51"/>
      <c r="D285" s="10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54"/>
      <c r="P285" s="4"/>
    </row>
    <row r="286" spans="1:24" s="28" customFormat="1" hidden="1">
      <c r="A286" s="52"/>
      <c r="B286" s="56"/>
      <c r="C286" s="52"/>
      <c r="D286" s="1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54"/>
      <c r="P286" s="39"/>
    </row>
    <row r="287" spans="1:24" hidden="1">
      <c r="A287" s="52"/>
      <c r="B287" s="56"/>
      <c r="C287" s="52"/>
      <c r="D287" s="1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54"/>
      <c r="P287" s="4"/>
    </row>
    <row r="288" spans="1:24" ht="15" hidden="1" customHeight="1">
      <c r="A288" s="52"/>
      <c r="B288" s="56"/>
      <c r="C288" s="53"/>
      <c r="D288" s="1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54"/>
      <c r="P288" s="4"/>
    </row>
    <row r="289" spans="1:16" hidden="1">
      <c r="A289" s="52"/>
      <c r="B289" s="56"/>
      <c r="C289" s="55"/>
      <c r="D289" s="1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54"/>
      <c r="P289" s="4"/>
    </row>
    <row r="290" spans="1:16" hidden="1">
      <c r="A290" s="52"/>
      <c r="B290" s="56"/>
      <c r="C290" s="55"/>
      <c r="D290" s="1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54"/>
      <c r="P290" s="4"/>
    </row>
    <row r="291" spans="1:16" hidden="1">
      <c r="A291" s="52"/>
      <c r="B291" s="58"/>
      <c r="C291" s="55"/>
      <c r="D291" s="1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54"/>
      <c r="P291" s="4"/>
    </row>
    <row r="292" spans="1:16" s="11" customFormat="1" ht="15.75" hidden="1" customHeight="1">
      <c r="A292" s="52"/>
      <c r="B292" s="56"/>
      <c r="C292" s="51"/>
      <c r="D292" s="10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54"/>
      <c r="P292" s="4"/>
    </row>
    <row r="293" spans="1:16" s="28" customFormat="1" hidden="1">
      <c r="A293" s="52"/>
      <c r="B293" s="56"/>
      <c r="C293" s="52"/>
      <c r="D293" s="1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54"/>
      <c r="P293" s="39"/>
    </row>
    <row r="294" spans="1:16" hidden="1">
      <c r="A294" s="52"/>
      <c r="B294" s="56"/>
      <c r="C294" s="52"/>
      <c r="D294" s="1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54"/>
      <c r="P294" s="4"/>
    </row>
    <row r="295" spans="1:16" ht="15" hidden="1" customHeight="1">
      <c r="A295" s="52"/>
      <c r="B295" s="56"/>
      <c r="C295" s="53"/>
      <c r="D295" s="1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54"/>
      <c r="P295" s="4"/>
    </row>
    <row r="296" spans="1:16" hidden="1">
      <c r="A296" s="52"/>
      <c r="B296" s="56"/>
      <c r="C296" s="55"/>
      <c r="D296" s="1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54"/>
      <c r="P296" s="4"/>
    </row>
    <row r="297" spans="1:16" hidden="1">
      <c r="A297" s="52"/>
      <c r="B297" s="56"/>
      <c r="C297" s="55"/>
      <c r="D297" s="1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54"/>
      <c r="P297" s="4"/>
    </row>
    <row r="298" spans="1:16" hidden="1">
      <c r="A298" s="52"/>
      <c r="B298" s="58"/>
      <c r="C298" s="55"/>
      <c r="D298" s="1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54"/>
      <c r="P298" s="4"/>
    </row>
    <row r="299" spans="1:16" s="11" customFormat="1" ht="15.75" hidden="1" customHeight="1">
      <c r="A299" s="52"/>
      <c r="B299" s="56"/>
      <c r="C299" s="51"/>
      <c r="D299" s="1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54"/>
      <c r="P299" s="4"/>
    </row>
    <row r="300" spans="1:16" s="28" customFormat="1" hidden="1">
      <c r="A300" s="52"/>
      <c r="B300" s="56"/>
      <c r="C300" s="52"/>
      <c r="D300" s="1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54"/>
      <c r="P300" s="39"/>
    </row>
    <row r="301" spans="1:16" hidden="1">
      <c r="A301" s="52"/>
      <c r="B301" s="56"/>
      <c r="C301" s="52"/>
      <c r="D301" s="1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54"/>
      <c r="P301" s="4"/>
    </row>
    <row r="302" spans="1:16" ht="15" hidden="1" customHeight="1">
      <c r="A302" s="52"/>
      <c r="B302" s="56"/>
      <c r="C302" s="53"/>
      <c r="D302" s="1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54"/>
      <c r="P302" s="4"/>
    </row>
    <row r="303" spans="1:16" hidden="1">
      <c r="A303" s="52"/>
      <c r="B303" s="56"/>
      <c r="C303" s="55"/>
      <c r="D303" s="1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54"/>
      <c r="P303" s="4"/>
    </row>
    <row r="304" spans="1:16" hidden="1">
      <c r="A304" s="52"/>
      <c r="B304" s="56"/>
      <c r="C304" s="55"/>
      <c r="D304" s="1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54"/>
      <c r="P304" s="4"/>
    </row>
    <row r="305" spans="1:16" hidden="1">
      <c r="A305" s="52"/>
      <c r="B305" s="58"/>
      <c r="C305" s="55"/>
      <c r="D305" s="1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54"/>
      <c r="P305" s="4"/>
    </row>
    <row r="306" spans="1:16" s="11" customFormat="1" ht="15.75" hidden="1" customHeight="1">
      <c r="A306" s="52"/>
      <c r="B306" s="56"/>
      <c r="C306" s="51"/>
      <c r="D306" s="1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54"/>
      <c r="P306" s="4"/>
    </row>
    <row r="307" spans="1:16" s="28" customFormat="1" hidden="1">
      <c r="A307" s="52"/>
      <c r="B307" s="56"/>
      <c r="C307" s="52"/>
      <c r="D307" s="1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54"/>
      <c r="P307" s="39"/>
    </row>
    <row r="308" spans="1:16" hidden="1">
      <c r="A308" s="52"/>
      <c r="B308" s="56"/>
      <c r="C308" s="52"/>
      <c r="D308" s="1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54"/>
      <c r="P308" s="4"/>
    </row>
    <row r="309" spans="1:16" ht="15" hidden="1" customHeight="1">
      <c r="A309" s="52"/>
      <c r="B309" s="56"/>
      <c r="C309" s="53"/>
      <c r="D309" s="1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54"/>
      <c r="P309" s="4"/>
    </row>
    <row r="310" spans="1:16" hidden="1">
      <c r="A310" s="52"/>
      <c r="B310" s="56"/>
      <c r="C310" s="55"/>
      <c r="D310" s="1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54"/>
      <c r="P310" s="4"/>
    </row>
    <row r="311" spans="1:16" hidden="1">
      <c r="A311" s="52"/>
      <c r="B311" s="56"/>
      <c r="C311" s="55"/>
      <c r="D311" s="1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54"/>
      <c r="P311" s="4"/>
    </row>
    <row r="312" spans="1:16" hidden="1">
      <c r="A312" s="53"/>
      <c r="B312" s="58"/>
      <c r="C312" s="55"/>
      <c r="D312" s="1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54"/>
      <c r="P312" s="4"/>
    </row>
    <row r="313" spans="1:16">
      <c r="A313" s="90"/>
      <c r="B313" s="87" t="s">
        <v>53</v>
      </c>
      <c r="C313" s="90"/>
      <c r="D313" s="10" t="s">
        <v>11</v>
      </c>
      <c r="E313" s="2">
        <f t="shared" ref="E313:N313" si="85">SUM(E314:E319)</f>
        <v>2860150.7289999998</v>
      </c>
      <c r="F313" s="2">
        <f t="shared" si="85"/>
        <v>2414775.0770000005</v>
      </c>
      <c r="G313" s="2">
        <f t="shared" si="85"/>
        <v>1746126.41</v>
      </c>
      <c r="H313" s="2">
        <f t="shared" si="85"/>
        <v>1604781.08</v>
      </c>
      <c r="I313" s="2">
        <f t="shared" si="85"/>
        <v>10303.4</v>
      </c>
      <c r="J313" s="2">
        <f t="shared" si="85"/>
        <v>645.6</v>
      </c>
      <c r="K313" s="2">
        <f t="shared" si="85"/>
        <v>691528.27899999986</v>
      </c>
      <c r="L313" s="2">
        <f t="shared" si="85"/>
        <v>397155.75700000004</v>
      </c>
      <c r="M313" s="2">
        <f t="shared" si="85"/>
        <v>412192.64</v>
      </c>
      <c r="N313" s="2">
        <f t="shared" si="85"/>
        <v>412192.64</v>
      </c>
      <c r="O313" s="45"/>
      <c r="P313" s="4"/>
    </row>
    <row r="314" spans="1:16" s="11" customFormat="1">
      <c r="A314" s="90"/>
      <c r="B314" s="87"/>
      <c r="C314" s="90"/>
      <c r="D314" s="10" t="s">
        <v>12</v>
      </c>
      <c r="E314" s="2">
        <f t="shared" ref="E314:F318" si="86">G314+I314+K314+M314</f>
        <v>423497.10000000003</v>
      </c>
      <c r="F314" s="2">
        <f>H314+J314+L314+N314</f>
        <v>369330.50000000006</v>
      </c>
      <c r="G314" s="2">
        <f t="shared" ref="G314:N314" si="87">G34+G76+G104+G167</f>
        <v>287073</v>
      </c>
      <c r="H314" s="2">
        <f t="shared" si="87"/>
        <v>242825.40000000002</v>
      </c>
      <c r="I314" s="2">
        <f t="shared" si="87"/>
        <v>3225</v>
      </c>
      <c r="J314" s="2">
        <f t="shared" si="87"/>
        <v>0</v>
      </c>
      <c r="K314" s="2">
        <f t="shared" si="87"/>
        <v>69836.899999999994</v>
      </c>
      <c r="L314" s="2">
        <f t="shared" si="87"/>
        <v>63142.9</v>
      </c>
      <c r="M314" s="2">
        <f t="shared" si="87"/>
        <v>63362.2</v>
      </c>
      <c r="N314" s="2">
        <f t="shared" si="87"/>
        <v>63362.2</v>
      </c>
      <c r="O314" s="45"/>
      <c r="P314" s="4"/>
    </row>
    <row r="315" spans="1:16" s="11" customFormat="1">
      <c r="A315" s="90"/>
      <c r="B315" s="87"/>
      <c r="C315" s="90"/>
      <c r="D315" s="10" t="s">
        <v>13</v>
      </c>
      <c r="E315" s="2">
        <f t="shared" si="86"/>
        <v>415534.89</v>
      </c>
      <c r="F315" s="2">
        <f t="shared" si="86"/>
        <v>393154.04000000004</v>
      </c>
      <c r="G315" s="2">
        <f t="shared" ref="G315:I316" si="88">G35+G77+G105+G168</f>
        <v>268270.99</v>
      </c>
      <c r="H315" s="2">
        <f t="shared" si="88"/>
        <v>255911.14</v>
      </c>
      <c r="I315" s="2">
        <f t="shared" si="88"/>
        <v>3297.5</v>
      </c>
      <c r="J315" s="2">
        <v>0</v>
      </c>
      <c r="K315" s="2">
        <f t="shared" ref="K315:N316" si="89">K35+K77+K105+K168</f>
        <v>68949.3</v>
      </c>
      <c r="L315" s="2">
        <f t="shared" si="89"/>
        <v>62225.8</v>
      </c>
      <c r="M315" s="2">
        <f t="shared" si="89"/>
        <v>75017.100000000006</v>
      </c>
      <c r="N315" s="2">
        <f t="shared" si="89"/>
        <v>75017.100000000006</v>
      </c>
      <c r="O315" s="45"/>
      <c r="P315" s="4"/>
    </row>
    <row r="316" spans="1:16" s="11" customFormat="1">
      <c r="A316" s="90"/>
      <c r="B316" s="87"/>
      <c r="C316" s="90"/>
      <c r="D316" s="10" t="s">
        <v>14</v>
      </c>
      <c r="E316" s="2">
        <f t="shared" si="86"/>
        <v>476059.0959999999</v>
      </c>
      <c r="F316" s="2">
        <f t="shared" si="86"/>
        <v>458652.696</v>
      </c>
      <c r="G316" s="2">
        <f t="shared" si="88"/>
        <v>277844.09999999998</v>
      </c>
      <c r="H316" s="2">
        <f t="shared" si="88"/>
        <v>267597.40000000002</v>
      </c>
      <c r="I316" s="2">
        <f t="shared" si="88"/>
        <v>3135.3</v>
      </c>
      <c r="J316" s="2">
        <f>J36+J78+J106+J169</f>
        <v>0</v>
      </c>
      <c r="K316" s="2">
        <f t="shared" si="89"/>
        <v>112958.09599999999</v>
      </c>
      <c r="L316" s="2">
        <f t="shared" si="89"/>
        <v>108933.69599999998</v>
      </c>
      <c r="M316" s="2">
        <f t="shared" si="89"/>
        <v>82121.600000000006</v>
      </c>
      <c r="N316" s="2">
        <f t="shared" si="89"/>
        <v>82121.600000000006</v>
      </c>
      <c r="O316" s="45"/>
      <c r="P316" s="4"/>
    </row>
    <row r="317" spans="1:16" s="11" customFormat="1">
      <c r="A317" s="90"/>
      <c r="B317" s="87"/>
      <c r="C317" s="90"/>
      <c r="D317" s="10" t="s">
        <v>15</v>
      </c>
      <c r="E317" s="2">
        <f t="shared" si="86"/>
        <v>520340.84100000001</v>
      </c>
      <c r="F317" s="2">
        <f t="shared" si="86"/>
        <v>504780.10099999997</v>
      </c>
      <c r="G317" s="2">
        <f t="shared" ref="G317:N319" si="90">G37+G79+G107+G170+G282</f>
        <v>301522.84000000003</v>
      </c>
      <c r="H317" s="2">
        <f>H37+H79+H107+H170+H282</f>
        <v>285962.09999999998</v>
      </c>
      <c r="I317" s="2">
        <f t="shared" si="90"/>
        <v>645.6</v>
      </c>
      <c r="J317" s="2">
        <f t="shared" si="90"/>
        <v>645.6</v>
      </c>
      <c r="K317" s="2">
        <f t="shared" si="90"/>
        <v>146761.46100000001</v>
      </c>
      <c r="L317" s="2">
        <f t="shared" si="90"/>
        <v>146761.46100000001</v>
      </c>
      <c r="M317" s="2">
        <f t="shared" si="90"/>
        <v>71410.94</v>
      </c>
      <c r="N317" s="2">
        <f t="shared" si="90"/>
        <v>71410.94</v>
      </c>
      <c r="O317" s="45"/>
      <c r="P317" s="4"/>
    </row>
    <row r="318" spans="1:16" s="11" customFormat="1">
      <c r="A318" s="90"/>
      <c r="B318" s="87"/>
      <c r="C318" s="90"/>
      <c r="D318" s="10" t="s">
        <v>16</v>
      </c>
      <c r="E318" s="2">
        <f t="shared" si="86"/>
        <v>512359.40100000001</v>
      </c>
      <c r="F318" s="2">
        <f t="shared" si="86"/>
        <v>344442.92000000004</v>
      </c>
      <c r="G318" s="2">
        <f t="shared" si="90"/>
        <v>305707.74</v>
      </c>
      <c r="H318" s="2">
        <f t="shared" si="90"/>
        <v>276242.52</v>
      </c>
      <c r="I318" s="2">
        <f t="shared" si="90"/>
        <v>0</v>
      </c>
      <c r="J318" s="2">
        <f t="shared" si="90"/>
        <v>0</v>
      </c>
      <c r="K318" s="2">
        <f t="shared" si="90"/>
        <v>146511.261</v>
      </c>
      <c r="L318" s="2">
        <f t="shared" si="90"/>
        <v>8060</v>
      </c>
      <c r="M318" s="2">
        <f t="shared" si="90"/>
        <v>60140.4</v>
      </c>
      <c r="N318" s="2">
        <f t="shared" si="90"/>
        <v>60140.4</v>
      </c>
      <c r="O318" s="45"/>
      <c r="P318" s="4"/>
    </row>
    <row r="319" spans="1:16" s="11" customFormat="1">
      <c r="A319" s="90"/>
      <c r="B319" s="87"/>
      <c r="C319" s="90"/>
      <c r="D319" s="10" t="s">
        <v>17</v>
      </c>
      <c r="E319" s="2">
        <f>G319+I319+K319+M319</f>
        <v>512359.40100000001</v>
      </c>
      <c r="F319" s="2">
        <f>H319+J319+L319+N319</f>
        <v>344414.82000000007</v>
      </c>
      <c r="G319" s="2">
        <f t="shared" si="90"/>
        <v>305707.74</v>
      </c>
      <c r="H319" s="2">
        <f t="shared" si="90"/>
        <v>276242.52</v>
      </c>
      <c r="I319" s="2">
        <f t="shared" si="90"/>
        <v>0</v>
      </c>
      <c r="J319" s="2">
        <f t="shared" si="90"/>
        <v>0</v>
      </c>
      <c r="K319" s="2">
        <f t="shared" si="90"/>
        <v>146511.261</v>
      </c>
      <c r="L319" s="2">
        <f t="shared" si="90"/>
        <v>8031.9</v>
      </c>
      <c r="M319" s="2">
        <f t="shared" si="90"/>
        <v>60140.4</v>
      </c>
      <c r="N319" s="2">
        <f t="shared" si="90"/>
        <v>60140.4</v>
      </c>
      <c r="O319" s="45"/>
      <c r="P319" s="4"/>
    </row>
    <row r="320" spans="1:16" s="11" customFormat="1" hidden="1">
      <c r="A320" s="5"/>
      <c r="B320" s="24"/>
      <c r="C320" s="16"/>
      <c r="D320" s="16"/>
      <c r="E320" s="12"/>
      <c r="F320" s="12">
        <v>2015</v>
      </c>
      <c r="G320" s="25"/>
      <c r="H320" s="16"/>
      <c r="I320" s="16"/>
      <c r="J320" s="16"/>
      <c r="K320" s="16"/>
      <c r="L320" s="16"/>
      <c r="M320" s="16"/>
      <c r="N320" s="16"/>
      <c r="O320" s="26"/>
      <c r="P320" s="4"/>
    </row>
    <row r="321" spans="2:10" hidden="1">
      <c r="B321" s="97"/>
      <c r="C321" s="97"/>
      <c r="D321" s="97"/>
      <c r="E321" s="97"/>
      <c r="F321" s="12">
        <v>2016</v>
      </c>
      <c r="G321" s="25">
        <f>G315-H315</f>
        <v>12359.849999999977</v>
      </c>
      <c r="H321" s="25">
        <f>4835.1+1025.3+4825.53+1673.94</f>
        <v>12359.87</v>
      </c>
      <c r="I321" s="96" t="s">
        <v>56</v>
      </c>
      <c r="J321" s="96"/>
    </row>
    <row r="322" spans="2:10" hidden="1">
      <c r="B322" s="97" t="s">
        <v>55</v>
      </c>
      <c r="C322" s="97"/>
      <c r="D322" s="97"/>
      <c r="E322" s="97"/>
      <c r="F322" s="12">
        <v>2017</v>
      </c>
      <c r="G322" s="27">
        <f>G316-H316</f>
        <v>10246.699999999953</v>
      </c>
      <c r="H322" s="25">
        <f>4493.43+542.32+1684.97+3426.98</f>
        <v>10147.700000000001</v>
      </c>
      <c r="I322" s="96" t="s">
        <v>56</v>
      </c>
      <c r="J322" s="96"/>
    </row>
    <row r="323" spans="2:10" hidden="1">
      <c r="F323" s="12">
        <v>2018</v>
      </c>
      <c r="G323" s="25">
        <f>G317-H317</f>
        <v>15560.740000000049</v>
      </c>
      <c r="H323" s="25"/>
    </row>
    <row r="324" spans="2:10">
      <c r="G324" s="25"/>
    </row>
    <row r="326" spans="2:10">
      <c r="F326" s="42" t="s">
        <v>109</v>
      </c>
      <c r="G326" s="43">
        <f>G319-H319</f>
        <v>29465.219999999972</v>
      </c>
      <c r="H326" s="44"/>
    </row>
  </sheetData>
  <mergeCells count="150">
    <mergeCell ref="O19:O25"/>
    <mergeCell ref="O26:O32"/>
    <mergeCell ref="B19:B25"/>
    <mergeCell ref="C21:C25"/>
    <mergeCell ref="C28:C32"/>
    <mergeCell ref="C70:C74"/>
    <mergeCell ref="C35:C39"/>
    <mergeCell ref="C43:C46"/>
    <mergeCell ref="C47:C49"/>
    <mergeCell ref="C63:C67"/>
    <mergeCell ref="B47:B53"/>
    <mergeCell ref="I322:J322"/>
    <mergeCell ref="I321:J321"/>
    <mergeCell ref="B321:E321"/>
    <mergeCell ref="B201:B207"/>
    <mergeCell ref="B322:E322"/>
    <mergeCell ref="C313:C319"/>
    <mergeCell ref="C236:C238"/>
    <mergeCell ref="C229:C231"/>
    <mergeCell ref="C222:C224"/>
    <mergeCell ref="C215:C217"/>
    <mergeCell ref="B313:B319"/>
    <mergeCell ref="B215:B221"/>
    <mergeCell ref="B243:B249"/>
    <mergeCell ref="C282:C284"/>
    <mergeCell ref="B299:B305"/>
    <mergeCell ref="B292:B298"/>
    <mergeCell ref="B250:B256"/>
    <mergeCell ref="B271:B277"/>
    <mergeCell ref="B279:B284"/>
    <mergeCell ref="B285:B291"/>
    <mergeCell ref="E231:N235"/>
    <mergeCell ref="E238:N242"/>
    <mergeCell ref="C12:C14"/>
    <mergeCell ref="C96:C102"/>
    <mergeCell ref="G12:N12"/>
    <mergeCell ref="C77:C81"/>
    <mergeCell ref="C85:C88"/>
    <mergeCell ref="C113:C116"/>
    <mergeCell ref="C105:C109"/>
    <mergeCell ref="C145:C147"/>
    <mergeCell ref="A19:A25"/>
    <mergeCell ref="C119:C123"/>
    <mergeCell ref="A16:O16"/>
    <mergeCell ref="A17:O17"/>
    <mergeCell ref="A18:O18"/>
    <mergeCell ref="A26:A32"/>
    <mergeCell ref="B26:B32"/>
    <mergeCell ref="O33:O74"/>
    <mergeCell ref="O75:O95"/>
    <mergeCell ref="E91:N95"/>
    <mergeCell ref="O12:O13"/>
    <mergeCell ref="G13:H13"/>
    <mergeCell ref="I13:J13"/>
    <mergeCell ref="K13:L13"/>
    <mergeCell ref="M13:N13"/>
    <mergeCell ref="A12:A14"/>
    <mergeCell ref="B12:B14"/>
    <mergeCell ref="D12:D14"/>
    <mergeCell ref="E12:F13"/>
    <mergeCell ref="A313:A319"/>
    <mergeCell ref="A103:A165"/>
    <mergeCell ref="B306:B312"/>
    <mergeCell ref="A8:O8"/>
    <mergeCell ref="E49:N53"/>
    <mergeCell ref="B54:B60"/>
    <mergeCell ref="B89:B95"/>
    <mergeCell ref="B110:B116"/>
    <mergeCell ref="B82:B88"/>
    <mergeCell ref="B61:B67"/>
    <mergeCell ref="A1:O1"/>
    <mergeCell ref="A2:O2"/>
    <mergeCell ref="L3:O6"/>
    <mergeCell ref="B236:B242"/>
    <mergeCell ref="B104:B109"/>
    <mergeCell ref="B34:B39"/>
    <mergeCell ref="B76:B81"/>
    <mergeCell ref="B167:B172"/>
    <mergeCell ref="B124:B130"/>
    <mergeCell ref="B138:B144"/>
    <mergeCell ref="A33:A74"/>
    <mergeCell ref="A75:A95"/>
    <mergeCell ref="A166:A249"/>
    <mergeCell ref="A279:A312"/>
    <mergeCell ref="B68:B74"/>
    <mergeCell ref="B117:B123"/>
    <mergeCell ref="B131:B137"/>
    <mergeCell ref="B145:B151"/>
    <mergeCell ref="C131:C133"/>
    <mergeCell ref="C292:C295"/>
    <mergeCell ref="B96:B102"/>
    <mergeCell ref="B194:B200"/>
    <mergeCell ref="B222:B228"/>
    <mergeCell ref="B229:B235"/>
    <mergeCell ref="B208:B214"/>
    <mergeCell ref="B152:B158"/>
    <mergeCell ref="B187:B193"/>
    <mergeCell ref="B173:B179"/>
    <mergeCell ref="B159:B165"/>
    <mergeCell ref="C194:C196"/>
    <mergeCell ref="C187:C189"/>
    <mergeCell ref="B180:B186"/>
    <mergeCell ref="C138:C140"/>
    <mergeCell ref="C89:C91"/>
    <mergeCell ref="B40:B46"/>
    <mergeCell ref="O292:O298"/>
    <mergeCell ref="O299:O305"/>
    <mergeCell ref="O166:O249"/>
    <mergeCell ref="O285:O291"/>
    <mergeCell ref="E147:N151"/>
    <mergeCell ref="E189:N193"/>
    <mergeCell ref="E196:N200"/>
    <mergeCell ref="E217:N221"/>
    <mergeCell ref="O306:O312"/>
    <mergeCell ref="C126:C130"/>
    <mergeCell ref="C161:C165"/>
    <mergeCell ref="C168:C172"/>
    <mergeCell ref="C176:C179"/>
    <mergeCell ref="C182:C186"/>
    <mergeCell ref="C245:C249"/>
    <mergeCell ref="O278:O284"/>
    <mergeCell ref="O103:O165"/>
    <mergeCell ref="E133:N137"/>
    <mergeCell ref="E224:N228"/>
    <mergeCell ref="E140:N144"/>
    <mergeCell ref="C306:C309"/>
    <mergeCell ref="C310:C312"/>
    <mergeCell ref="C299:C302"/>
    <mergeCell ref="C303:C305"/>
    <mergeCell ref="C296:C298"/>
    <mergeCell ref="C250:C253"/>
    <mergeCell ref="C271:C274"/>
    <mergeCell ref="C289:C291"/>
    <mergeCell ref="C285:C288"/>
    <mergeCell ref="O271:O277"/>
    <mergeCell ref="C275:C277"/>
    <mergeCell ref="A250:A256"/>
    <mergeCell ref="A257:A263"/>
    <mergeCell ref="A264:A270"/>
    <mergeCell ref="A271:A277"/>
    <mergeCell ref="O250:O256"/>
    <mergeCell ref="C254:C256"/>
    <mergeCell ref="B257:B263"/>
    <mergeCell ref="C257:C260"/>
    <mergeCell ref="O257:O263"/>
    <mergeCell ref="C261:C263"/>
    <mergeCell ref="B264:B270"/>
    <mergeCell ref="C264:C267"/>
    <mergeCell ref="O264:O270"/>
    <mergeCell ref="C268:C270"/>
  </mergeCells>
  <phoneticPr fontId="11" type="noConversion"/>
  <pageMargins left="0.15748031496062992" right="0.15748031496062992" top="0.17" bottom="0.2" header="0.31496062992125984" footer="0.17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2018-12-12T02:03:03Z</cp:lastPrinted>
  <dcterms:created xsi:type="dcterms:W3CDTF">2014-06-24T05:35:40Z</dcterms:created>
  <dcterms:modified xsi:type="dcterms:W3CDTF">2018-12-13T07:39:49Z</dcterms:modified>
</cp:coreProperties>
</file>