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печать" sheetId="1" r:id="rId1"/>
    <sheet name="рабочая" sheetId="2" r:id="rId2"/>
    <sheet name="Лист2" sheetId="3" r:id="rId3"/>
    <sheet name="Лист3" sheetId="4" r:id="rId4"/>
  </sheets>
  <definedNames>
    <definedName name="Z_181B4CEB_5AC1_4DC2_9309_23DFE9AB1664_.wvu.Cols" localSheetId="1" hidden="1">'рабочая'!$C:$H</definedName>
    <definedName name="Z_181B4CEB_5AC1_4DC2_9309_23DFE9AB1664_.wvu.PrintArea" localSheetId="0" hidden="1">'печать'!$A$1:$E$169</definedName>
    <definedName name="Z_181B4CEB_5AC1_4DC2_9309_23DFE9AB1664_.wvu.PrintArea" localSheetId="1" hidden="1">'рабочая'!$A$1:$AC$165</definedName>
    <definedName name="Z_181B4CEB_5AC1_4DC2_9309_23DFE9AB1664_.wvu.PrintTitles" localSheetId="0" hidden="1">'печать'!$3:$4</definedName>
    <definedName name="Z_181B4CEB_5AC1_4DC2_9309_23DFE9AB1664_.wvu.PrintTitles" localSheetId="1" hidden="1">'рабочая'!$3:$4</definedName>
    <definedName name="Z_181B4CEB_5AC1_4DC2_9309_23DFE9AB1664_.wvu.Rows" localSheetId="0" hidden="1">'печать'!#REF!,'печать'!#REF!,'печать'!#REF!,'печать'!#REF!,'печать'!$170:$174</definedName>
    <definedName name="Z_181B4CEB_5AC1_4DC2_9309_23DFE9AB1664_.wvu.Rows" localSheetId="1" hidden="1">'рабочая'!$166:$170</definedName>
    <definedName name="Z_18D54C52_59C2_4E63_B542_BEC333D1F0CA_.wvu.Cols" localSheetId="1" hidden="1">'рабочая'!$C:$H</definedName>
    <definedName name="Z_18D54C52_59C2_4E63_B542_BEC333D1F0CA_.wvu.PrintArea" localSheetId="0" hidden="1">'печать'!$A$1:$E$169</definedName>
    <definedName name="Z_18D54C52_59C2_4E63_B542_BEC333D1F0CA_.wvu.PrintArea" localSheetId="1" hidden="1">'рабочая'!$A$1:$AC$165</definedName>
    <definedName name="Z_18D54C52_59C2_4E63_B542_BEC333D1F0CA_.wvu.PrintTitles" localSheetId="0" hidden="1">'печать'!$3:$4</definedName>
    <definedName name="Z_18D54C52_59C2_4E63_B542_BEC333D1F0CA_.wvu.PrintTitles" localSheetId="1" hidden="1">'рабочая'!$3:$4</definedName>
    <definedName name="Z_18D54C52_59C2_4E63_B542_BEC333D1F0CA_.wvu.Rows" localSheetId="0" hidden="1">'печать'!#REF!,'печать'!#REF!,'печать'!#REF!,'печать'!#REF!,'печать'!$170:$174</definedName>
    <definedName name="Z_18D54C52_59C2_4E63_B542_BEC333D1F0CA_.wvu.Rows" localSheetId="1" hidden="1">'рабочая'!$166:$170</definedName>
    <definedName name="Z_2048B3EB_C5F5_4BB9_8353_1B00593EFBD0_.wvu.Cols" localSheetId="1" hidden="1">'рабочая'!$C:$H</definedName>
    <definedName name="Z_2048B3EB_C5F5_4BB9_8353_1B00593EFBD0_.wvu.PrintArea" localSheetId="0" hidden="1">'печать'!$A$1:$E$169</definedName>
    <definedName name="Z_2048B3EB_C5F5_4BB9_8353_1B00593EFBD0_.wvu.PrintArea" localSheetId="1" hidden="1">'рабочая'!$A$1:$AC$165</definedName>
    <definedName name="Z_2048B3EB_C5F5_4BB9_8353_1B00593EFBD0_.wvu.PrintTitles" localSheetId="0" hidden="1">'печать'!$3:$4</definedName>
    <definedName name="Z_2048B3EB_C5F5_4BB9_8353_1B00593EFBD0_.wvu.PrintTitles" localSheetId="1" hidden="1">'рабочая'!$3:$4</definedName>
    <definedName name="Z_2048B3EB_C5F5_4BB9_8353_1B00593EFBD0_.wvu.Rows" localSheetId="0" hidden="1">'печать'!$170:$174</definedName>
    <definedName name="Z_2048B3EB_C5F5_4BB9_8353_1B00593EFBD0_.wvu.Rows" localSheetId="1" hidden="1">'рабочая'!$166:$170</definedName>
    <definedName name="Z_262CA3BA_A6EF_40CD_A639_E517018E5E64_.wvu.PrintArea" localSheetId="0" hidden="1">'печать'!$A$1:$B$169</definedName>
    <definedName name="Z_262CA3BA_A6EF_40CD_A639_E517018E5E64_.wvu.PrintArea" localSheetId="1" hidden="1">'рабочая'!$A$1:$B$165</definedName>
    <definedName name="Z_262CA3BA_A6EF_40CD_A639_E517018E5E64_.wvu.PrintTitles" localSheetId="0" hidden="1">'печать'!$3:$3</definedName>
    <definedName name="Z_262CA3BA_A6EF_40CD_A639_E517018E5E64_.wvu.PrintTitles" localSheetId="1" hidden="1">'рабочая'!$3:$3</definedName>
    <definedName name="Z_3ACB934F_FC62_488D_A826_CB933DDE4BEC_.wvu.PrintArea" localSheetId="0" hidden="1">'печать'!$A$1:$B$169</definedName>
    <definedName name="Z_3ACB934F_FC62_488D_A826_CB933DDE4BEC_.wvu.PrintArea" localSheetId="1" hidden="1">'рабочая'!$A$1:$B$165</definedName>
    <definedName name="Z_3ACB934F_FC62_488D_A826_CB933DDE4BEC_.wvu.PrintTitles" localSheetId="0" hidden="1">'печать'!$3:$3</definedName>
    <definedName name="Z_3ACB934F_FC62_488D_A826_CB933DDE4BEC_.wvu.PrintTitles" localSheetId="1" hidden="1">'рабочая'!$3:$3</definedName>
    <definedName name="Z_435076F3_59AF_4AB4_B417_C0DF31B97EA9_.wvu.PrintArea" localSheetId="0" hidden="1">'печать'!$A$1:$B$169</definedName>
    <definedName name="Z_435076F3_59AF_4AB4_B417_C0DF31B97EA9_.wvu.PrintArea" localSheetId="1" hidden="1">'рабочая'!$A$1:$E$165</definedName>
    <definedName name="Z_435076F3_59AF_4AB4_B417_C0DF31B97EA9_.wvu.PrintTitles" localSheetId="0" hidden="1">'печать'!$3:$4</definedName>
    <definedName name="Z_435076F3_59AF_4AB4_B417_C0DF31B97EA9_.wvu.PrintTitles" localSheetId="1" hidden="1">'рабочая'!$3:$4</definedName>
    <definedName name="Z_435076F3_59AF_4AB4_B417_C0DF31B97EA9_.wvu.Rows" localSheetId="0" hidden="1">'печать'!$170:$174</definedName>
    <definedName name="Z_435076F3_59AF_4AB4_B417_C0DF31B97EA9_.wvu.Rows" localSheetId="1" hidden="1">'рабочая'!$166:$170</definedName>
    <definedName name="Z_5B49F443_D6B0_4835_9074_3E845B105F53_.wvu.PrintArea" localSheetId="0" hidden="1">'печать'!$A$1:$B$169</definedName>
    <definedName name="Z_5B49F443_D6B0_4835_9074_3E845B105F53_.wvu.PrintArea" localSheetId="1" hidden="1">'рабочая'!$A$1:$B$165</definedName>
    <definedName name="Z_5B49F443_D6B0_4835_9074_3E845B105F53_.wvu.PrintTitles" localSheetId="0" hidden="1">'печать'!$3:$3</definedName>
    <definedName name="Z_5B49F443_D6B0_4835_9074_3E845B105F53_.wvu.PrintTitles" localSheetId="1" hidden="1">'рабочая'!$3:$3</definedName>
    <definedName name="Z_5D5256B6_6293_469F_A2AD_012C53DA8111_.wvu.Cols" localSheetId="1" hidden="1">'рабочая'!$C:$H</definedName>
    <definedName name="Z_5D5256B6_6293_469F_A2AD_012C53DA8111_.wvu.PrintArea" localSheetId="0" hidden="1">'печать'!$A$1:$E$169</definedName>
    <definedName name="Z_5D5256B6_6293_469F_A2AD_012C53DA8111_.wvu.PrintArea" localSheetId="1" hidden="1">'рабочая'!$A$1:$AC$165</definedName>
    <definedName name="Z_5D5256B6_6293_469F_A2AD_012C53DA8111_.wvu.PrintTitles" localSheetId="0" hidden="1">'печать'!$3:$4</definedName>
    <definedName name="Z_5D5256B6_6293_469F_A2AD_012C53DA8111_.wvu.PrintTitles" localSheetId="1" hidden="1">'рабочая'!$3:$4</definedName>
    <definedName name="Z_5D5256B6_6293_469F_A2AD_012C53DA8111_.wvu.Rows" localSheetId="0" hidden="1">'печать'!#REF!,'печать'!#REF!,'печать'!#REF!,'печать'!#REF!,'печать'!$170:$174</definedName>
    <definedName name="Z_5D5256B6_6293_469F_A2AD_012C53DA8111_.wvu.Rows" localSheetId="1" hidden="1">'рабочая'!$166:$170</definedName>
    <definedName name="Z_6B24DEB0_A98A_4D9E_96F2_FF146AEB12F7_.wvu.Cols" localSheetId="1" hidden="1">'рабочая'!$C:$H</definedName>
    <definedName name="Z_6B24DEB0_A98A_4D9E_96F2_FF146AEB12F7_.wvu.PrintArea" localSheetId="0" hidden="1">'печать'!$A$1:$E$169</definedName>
    <definedName name="Z_6B24DEB0_A98A_4D9E_96F2_FF146AEB12F7_.wvu.PrintArea" localSheetId="1" hidden="1">'рабочая'!$A$1:$AC$165</definedName>
    <definedName name="Z_6B24DEB0_A98A_4D9E_96F2_FF146AEB12F7_.wvu.PrintTitles" localSheetId="0" hidden="1">'печать'!$3:$4</definedName>
    <definedName name="Z_6B24DEB0_A98A_4D9E_96F2_FF146AEB12F7_.wvu.PrintTitles" localSheetId="1" hidden="1">'рабочая'!$3:$4</definedName>
    <definedName name="Z_6B24DEB0_A98A_4D9E_96F2_FF146AEB12F7_.wvu.Rows" localSheetId="0" hidden="1">'печать'!#REF!,'печать'!#REF!,'печать'!#REF!,'печать'!#REF!,'печать'!$170:$174</definedName>
    <definedName name="Z_6B24DEB0_A98A_4D9E_96F2_FF146AEB12F7_.wvu.Rows" localSheetId="1" hidden="1">'рабочая'!$166:$170</definedName>
    <definedName name="Z_A271FDDF_1F2F_4465_BDE6_427F539D7A5D_.wvu.Cols" localSheetId="1" hidden="1">'рабочая'!$C:$H</definedName>
    <definedName name="Z_A271FDDF_1F2F_4465_BDE6_427F539D7A5D_.wvu.PrintArea" localSheetId="0" hidden="1">'печать'!$A$1:$E$169</definedName>
    <definedName name="Z_A271FDDF_1F2F_4465_BDE6_427F539D7A5D_.wvu.PrintArea" localSheetId="1" hidden="1">'рабочая'!$A$1:$AC$165</definedName>
    <definedName name="Z_A271FDDF_1F2F_4465_BDE6_427F539D7A5D_.wvu.PrintTitles" localSheetId="0" hidden="1">'печать'!$3:$4</definedName>
    <definedName name="Z_A271FDDF_1F2F_4465_BDE6_427F539D7A5D_.wvu.PrintTitles" localSheetId="1" hidden="1">'рабочая'!$3:$4</definedName>
    <definedName name="Z_A271FDDF_1F2F_4465_BDE6_427F539D7A5D_.wvu.Rows" localSheetId="0" hidden="1">'печать'!#REF!,'печать'!#REF!,'печать'!#REF!,'печать'!#REF!,'печать'!$170:$174</definedName>
    <definedName name="Z_A271FDDF_1F2F_4465_BDE6_427F539D7A5D_.wvu.Rows" localSheetId="1" hidden="1">'рабочая'!$166:$170</definedName>
    <definedName name="Z_BF8122AC_4118_4425_B361_8E95CC11A5BC_.wvu.Cols" localSheetId="1" hidden="1">'рабочая'!$C:$H</definedName>
    <definedName name="Z_BF8122AC_4118_4425_B361_8E95CC11A5BC_.wvu.PrintArea" localSheetId="0" hidden="1">'печать'!$A$1:$E$169</definedName>
    <definedName name="Z_BF8122AC_4118_4425_B361_8E95CC11A5BC_.wvu.PrintArea" localSheetId="1" hidden="1">'рабочая'!$A$1:$AC$165</definedName>
    <definedName name="Z_BF8122AC_4118_4425_B361_8E95CC11A5BC_.wvu.PrintTitles" localSheetId="0" hidden="1">'печать'!$3:$4</definedName>
    <definedName name="Z_BF8122AC_4118_4425_B361_8E95CC11A5BC_.wvu.PrintTitles" localSheetId="1" hidden="1">'рабочая'!$3:$4</definedName>
    <definedName name="Z_BF8122AC_4118_4425_B361_8E95CC11A5BC_.wvu.Rows" localSheetId="0" hidden="1">'печать'!#REF!,'печать'!#REF!,'печать'!#REF!,'печать'!#REF!,'печать'!$170:$174</definedName>
    <definedName name="Z_BF8122AC_4118_4425_B361_8E95CC11A5BC_.wvu.Rows" localSheetId="1" hidden="1">'рабочая'!$166:$170</definedName>
    <definedName name="Z_CA6ADE21_2BB8_4A86_81D0_89CC6C069A57_.wvu.Cols" localSheetId="1" hidden="1">'рабочая'!$C:$H</definedName>
    <definedName name="Z_CA6ADE21_2BB8_4A86_81D0_89CC6C069A57_.wvu.PrintArea" localSheetId="0" hidden="1">'печать'!$A$1:$E$169</definedName>
    <definedName name="Z_CA6ADE21_2BB8_4A86_81D0_89CC6C069A57_.wvu.PrintArea" localSheetId="1" hidden="1">'рабочая'!$A$1:$AC$165</definedName>
    <definedName name="Z_CA6ADE21_2BB8_4A86_81D0_89CC6C069A57_.wvu.PrintTitles" localSheetId="0" hidden="1">'печать'!$3:$4</definedName>
    <definedName name="Z_CA6ADE21_2BB8_4A86_81D0_89CC6C069A57_.wvu.PrintTitles" localSheetId="1" hidden="1">'рабочая'!$3:$4</definedName>
    <definedName name="Z_CA6ADE21_2BB8_4A86_81D0_89CC6C069A57_.wvu.Rows" localSheetId="0" hidden="1">'печать'!#REF!,'печать'!#REF!,'печать'!#REF!,'печать'!#REF!,'печать'!$170:$174</definedName>
    <definedName name="Z_CA6ADE21_2BB8_4A86_81D0_89CC6C069A57_.wvu.Rows" localSheetId="1" hidden="1">'рабочая'!$166:$170</definedName>
    <definedName name="Z_DE8C67C2_2DE1_4919_9F22_B9234483C627_.wvu.PrintArea" localSheetId="0" hidden="1">'печать'!$A$1:$B$169</definedName>
    <definedName name="Z_DE8C67C2_2DE1_4919_9F22_B9234483C627_.wvu.PrintArea" localSheetId="1" hidden="1">'рабочая'!$A$1:$E$165</definedName>
    <definedName name="Z_DE8C67C2_2DE1_4919_9F22_B9234483C627_.wvu.PrintTitles" localSheetId="0" hidden="1">'печать'!$3:$4</definedName>
    <definedName name="Z_DE8C67C2_2DE1_4919_9F22_B9234483C627_.wvu.PrintTitles" localSheetId="1" hidden="1">'рабочая'!$3:$4</definedName>
    <definedName name="Z_DE8C67C2_2DE1_4919_9F22_B9234483C627_.wvu.Rows" localSheetId="0" hidden="1">'печать'!$170:$174</definedName>
    <definedName name="Z_DE8C67C2_2DE1_4919_9F22_B9234483C627_.wvu.Rows" localSheetId="1" hidden="1">'рабочая'!$166:$170</definedName>
    <definedName name="Z_E11958A8_8BEC_4CD5_A29E_1FCD1D6318D7_.wvu.Cols" localSheetId="1" hidden="1">'рабочая'!$C:$H</definedName>
    <definedName name="Z_E11958A8_8BEC_4CD5_A29E_1FCD1D6318D7_.wvu.PrintArea" localSheetId="0" hidden="1">'печать'!$A$1:$E$169</definedName>
    <definedName name="Z_E11958A8_8BEC_4CD5_A29E_1FCD1D6318D7_.wvu.PrintArea" localSheetId="1" hidden="1">'рабочая'!$A$1:$AC$165</definedName>
    <definedName name="Z_E11958A8_8BEC_4CD5_A29E_1FCD1D6318D7_.wvu.PrintTitles" localSheetId="0" hidden="1">'печать'!$3:$4</definedName>
    <definedName name="Z_E11958A8_8BEC_4CD5_A29E_1FCD1D6318D7_.wvu.PrintTitles" localSheetId="1" hidden="1">'рабочая'!$3:$4</definedName>
    <definedName name="Z_E11958A8_8BEC_4CD5_A29E_1FCD1D6318D7_.wvu.Rows" localSheetId="0" hidden="1">'печать'!$170:$174</definedName>
    <definedName name="Z_E11958A8_8BEC_4CD5_A29E_1FCD1D6318D7_.wvu.Rows" localSheetId="1" hidden="1">'рабочая'!$166:$170</definedName>
    <definedName name="Z_F7349121_2C82_4CD7_84DA_78AD694EC0B5_.wvu.Cols" localSheetId="1" hidden="1">'рабочая'!$C:$H</definedName>
    <definedName name="Z_F7349121_2C82_4CD7_84DA_78AD694EC0B5_.wvu.PrintArea" localSheetId="0" hidden="1">'печать'!$A$1:$E$169</definedName>
    <definedName name="Z_F7349121_2C82_4CD7_84DA_78AD694EC0B5_.wvu.PrintArea" localSheetId="1" hidden="1">'рабочая'!$A$1:$AC$165</definedName>
    <definedName name="Z_F7349121_2C82_4CD7_84DA_78AD694EC0B5_.wvu.PrintTitles" localSheetId="0" hidden="1">'печать'!$3:$4</definedName>
    <definedName name="Z_F7349121_2C82_4CD7_84DA_78AD694EC0B5_.wvu.PrintTitles" localSheetId="1" hidden="1">'рабочая'!$3:$4</definedName>
    <definedName name="Z_F7349121_2C82_4CD7_84DA_78AD694EC0B5_.wvu.Rows" localSheetId="0" hidden="1">'печать'!#REF!,'печать'!#REF!,'печать'!#REF!,'печать'!#REF!,'печать'!$170:$174</definedName>
    <definedName name="Z_F7349121_2C82_4CD7_84DA_78AD694EC0B5_.wvu.Rows" localSheetId="1" hidden="1">'рабочая'!$166:$170</definedName>
    <definedName name="_xlnm.Print_Titles" localSheetId="0">'печать'!$3:$4</definedName>
    <definedName name="_xlnm.Print_Titles" localSheetId="1">'рабочая'!$3:$4</definedName>
    <definedName name="_xlnm.Print_Area" localSheetId="0">'печать'!$A$1:$E$169</definedName>
    <definedName name="_xlnm.Print_Area" localSheetId="1">'рабочая'!$A$1:$AC$165</definedName>
  </definedNames>
  <calcPr fullCalcOnLoad="1"/>
</workbook>
</file>

<file path=xl/sharedStrings.xml><?xml version="1.0" encoding="utf-8"?>
<sst xmlns="http://schemas.openxmlformats.org/spreadsheetml/2006/main" count="682" uniqueCount="394">
  <si>
    <t>Муниципальное автономное общеобразовательное учреждение, гимназия  № 24  имени  М.В. Октябрьской   г. Томска</t>
  </si>
  <si>
    <t xml:space="preserve">Муниципальное автономное общеобразовательное учреждение, средняя общеобразовательная школа № 25 г. Томска      </t>
  </si>
  <si>
    <t xml:space="preserve">Муниципальное автономное общеобразовательное учреждение, гимназия  № 29 г. Томска     </t>
  </si>
  <si>
    <t xml:space="preserve">Муниципальное бюджетное общеобразовательное учреждение средняя общеобразовательная школа № 33 г. Томска      </t>
  </si>
  <si>
    <t xml:space="preserve">Муниципальное автономное общеобразовательное учреждение средняя общеобразовательная школа № 37 г. Томска       </t>
  </si>
  <si>
    <t xml:space="preserve">Муниципальное автономное  общеобразовательное учреждение средняя общеобразовательная школа № 40 г. Томска      </t>
  </si>
  <si>
    <t xml:space="preserve">Муниципальное автономное общеобразовательное учреждение средняя общеобразовательная школа № 43 г. Томска     </t>
  </si>
  <si>
    <t xml:space="preserve">Муниципальное бюджетное общеобразовательное учреждение, средняя общеобразовательная школа № 49 г. Томска       </t>
  </si>
  <si>
    <t xml:space="preserve">Муниципальное автономное  общеобразовательное учреждение средняя общеобразовательная школа № 50 г. Томска      </t>
  </si>
  <si>
    <t xml:space="preserve">Муниципальное автономное общеобразовательное учреждение гимназия № 55 г. Томска      </t>
  </si>
  <si>
    <t xml:space="preserve">Муниципальное автономное общеобразовательное учреждение гимназия № 56 г. Томска      </t>
  </si>
  <si>
    <t xml:space="preserve">Муниципальное бюджетное учреждение  психолого-медико-педагогическая комиссия г. Томска                 </t>
  </si>
  <si>
    <t xml:space="preserve">Муниципальное бюджетное дошкольное образовательное учреждение детский сад  № 27 г. Томска   </t>
  </si>
  <si>
    <t xml:space="preserve">Муниципальное автономное учреждение информационно-методический центр г. Томска   </t>
  </si>
  <si>
    <t>Муниципальное бюджетное общеобразовательное учреждение Академический лицей г. Томска</t>
  </si>
  <si>
    <t>Муниципальное  автономное общеобразовательное учреждение Сибирский  лицей г. Томска</t>
  </si>
  <si>
    <t>№
 п/п</t>
  </si>
  <si>
    <t>Наименование учреждения</t>
  </si>
  <si>
    <t xml:space="preserve">Итого: </t>
  </si>
  <si>
    <t>Муниципальное автономное  общеобразовательное учреждение, гимназия № 6 г. Томска</t>
  </si>
  <si>
    <t xml:space="preserve">Муниципальное бюджетное общеобразовательное учреждение лицей при ТПУ г. Томска   </t>
  </si>
  <si>
    <t xml:space="preserve">Муниципальное бюджетное общеобразовательное учреждение      средняя общеобразовательная школа "Эврика-развитие" г. Томска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</si>
  <si>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</si>
  <si>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</si>
  <si>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</si>
  <si>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</si>
  <si>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</si>
  <si>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</si>
  <si>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</si>
  <si>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</si>
  <si>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</si>
  <si>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</si>
  <si>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</si>
  <si>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</si>
  <si>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</si>
  <si>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</si>
  <si>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</si>
  <si>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</si>
  <si>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</si>
  <si>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</si>
  <si>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</si>
  <si>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</si>
  <si>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</si>
  <si>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</si>
  <si>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</si>
  <si>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</si>
  <si>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</si>
  <si>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</si>
  <si>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</si>
  <si>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</si>
  <si>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</si>
  <si>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</si>
  <si>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</si>
  <si>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</si>
  <si>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</si>
  <si>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</si>
  <si>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</si>
  <si>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</si>
  <si>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</si>
  <si>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</si>
  <si>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</si>
  <si>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</si>
  <si>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</si>
  <si>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</si>
  <si>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</si>
  <si>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</si>
  <si>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</si>
  <si>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</si>
  <si>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</si>
  <si>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</si>
  <si>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</si>
  <si>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</si>
  <si>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</si>
  <si>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</si>
  <si>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</si>
  <si>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</si>
  <si>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</si>
  <si>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</si>
  <si>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</si>
  <si>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</si>
  <si>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</si>
  <si>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</si>
  <si>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</si>
  <si>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</si>
  <si>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</si>
  <si>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</si>
  <si>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</si>
  <si>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</si>
  <si>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</si>
  <si>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</si>
  <si>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</si>
  <si>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</si>
  <si>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</si>
  <si>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</si>
  <si>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</si>
  <si>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</si>
  <si>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</si>
  <si>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</si>
  <si>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</si>
  <si>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</si>
  <si>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</si>
  <si>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</si>
  <si>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</si>
  <si>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</si>
  <si>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</si>
  <si>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</si>
  <si>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</si>
  <si>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</si>
  <si>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</si>
  <si>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</si>
  <si>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</si>
  <si>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</si>
  <si>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</si>
  <si>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</si>
  <si>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</si>
  <si>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</si>
  <si>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</si>
  <si>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</si>
  <si>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</si>
  <si>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</si>
  <si>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</si>
  <si>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</si>
  <si>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</si>
  <si>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</si>
  <si>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</si>
  <si>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</si>
  <si>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</si>
  <si>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</si>
  <si>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</si>
  <si>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</si>
  <si>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</si>
  <si>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</si>
  <si>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</si>
  <si>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</si>
  <si>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</si>
  <si>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</si>
  <si>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</si>
  <si>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</si>
  <si>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</si>
  <si>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</si>
  <si>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</si>
  <si>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</si>
  <si>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</si>
  <si>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</si>
  <si>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</si>
  <si>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</si>
  <si>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</si>
  <si>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</si>
  <si>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</si>
  <si>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</si>
  <si>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</si>
  <si>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</si>
  <si>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</si>
  <si>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</si>
  <si>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</si>
  <si>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</si>
  <si>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</si>
  <si>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</si>
  <si>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</si>
  <si>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</si>
  <si>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</si>
  <si>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</si>
  <si>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</si>
  <si>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</si>
  <si>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</si>
  <si>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</si>
  <si>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</si>
  <si>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</si>
  <si>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</si>
  <si>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</si>
  <si>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</si>
  <si>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</si>
  <si>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</si>
  <si>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</si>
  <si>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</si>
  <si>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</si>
  <si>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</si>
  <si>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 xml:space="preserve">Муниципальное автономное дошкольное образовательное учреждение детский сад общеразвивающего вида № 5 г. Томска </t>
  </si>
  <si>
    <t xml:space="preserve">Муниципальное автономное дошкольное образовательное учреждение детский сад комбинированного  вида № 6 г. Томска </t>
  </si>
  <si>
    <t xml:space="preserve">Муниципальное автономное дошкольное образовательное учреждение детский сад  № 8 г. Томска </t>
  </si>
  <si>
    <t xml:space="preserve">Муниципальное автономное дошкольное образовательное учреждение детский сад общеразвивающего вида № 11 г. Томска  </t>
  </si>
  <si>
    <t xml:space="preserve">Муниципальное автономное дошкольное образовательное учреждение детский сад  № 13 г. Томска </t>
  </si>
  <si>
    <t xml:space="preserve">Муниципальное автономное  дошкольное образовательное учреждение детский сад комбинированного вида  № 15 г. Томска  </t>
  </si>
  <si>
    <t xml:space="preserve">Муниципальное бюджетное дошкольное образовательное учреждение детский сад комбинированного вида № 17 г. Томска  </t>
  </si>
  <si>
    <t>Муниципальное бюджетное дошкольное образовательное учреждение детский сад комбинированного вида № 18 г. Томска</t>
  </si>
  <si>
    <t xml:space="preserve">Муниципальное бюджетное дошкольное образовательное учреждение детский сад комбинированного вида № 19 г. Томска  </t>
  </si>
  <si>
    <t>Муниципальное бюджетное дошкольное образовательное учреждение центр развития ребенка - детский сад № 20 г. Томска</t>
  </si>
  <si>
    <t>Муниципальное бюджетное дошкольное образовательное учреждение центр развития ребенка - детский сад № 21 г. Томска</t>
  </si>
  <si>
    <t>Муниципальное бюджетное дошкольное образовательное учреждение центр развития ребенка - детский сад № 23 г. Томска</t>
  </si>
  <si>
    <t xml:space="preserve">Муниципальное бюджетное дошкольное образовательное учреждение детский сад общеразвивающего вида № 31   г. Томска  </t>
  </si>
  <si>
    <t xml:space="preserve">Муниципальное бюджетное дошкольное образовательное учреждение детский сад общеразвивающего вида № 34 г. Томска  </t>
  </si>
  <si>
    <t xml:space="preserve">Муниципальное бюджетное дошкольное образовательное учреждение детский сад общеразвивающего вида № 35 </t>
  </si>
  <si>
    <t xml:space="preserve">Муниципальное автономное дошкольное образовательное учреждение детский сад № 38 г. Томска  </t>
  </si>
  <si>
    <t xml:space="preserve">Муниципальное автономное  дошкольное образовательное учреждение детский сад № 39 г. Томска   </t>
  </si>
  <si>
    <t>Муниципальное автономное дошкольное образовательное учреждение центр развития ребенка - детский сад № 40 г. Томска</t>
  </si>
  <si>
    <t xml:space="preserve">Муниципальное автономное дошкольное образовательное учреждение детский сад общеразвивающего вида № 44 г. Томска </t>
  </si>
  <si>
    <t xml:space="preserve">Муниципальное автономное дошкольное образовательное учреждение детский сад № 45 г. Томска    </t>
  </si>
  <si>
    <t xml:space="preserve">Муниципальное бюджетное дошкольное образовательное учреждение детский сад общеразвивающего вида № 46 г. Томска  </t>
  </si>
  <si>
    <t xml:space="preserve">Муниципальное автономное дошкольное образовательное учреждение детский сад № 50 г. Томска      </t>
  </si>
  <si>
    <t>Муниципальное автономное дошкольное образовательное учреждение детский сад общеразвивающего вида № 51 г. Томска</t>
  </si>
  <si>
    <t xml:space="preserve">Муниципальное автономное дошкольное образовательное учреждение детский сад комбинированного  вида № 53 г. Томска </t>
  </si>
  <si>
    <t xml:space="preserve">Муниципальное автономное дошкольное образовательное учреждение детский сад общеразвивающего вида № 56 г. Томска </t>
  </si>
  <si>
    <t xml:space="preserve">Муниципальное автономное дошкольное образовательное учреждение детский сад комбинированного вида № 60 г. Томска  </t>
  </si>
  <si>
    <t xml:space="preserve">Муниципальное автономное  дошкольное образовательное учреждение детский сад общеразвивающего вида № 61 г. Томска  </t>
  </si>
  <si>
    <t xml:space="preserve">Муниципальное бюджетное дошкольное образовательное учреждение детский сад общеразвивающего вида № 62 г. Томска </t>
  </si>
  <si>
    <t>Муниципальное автономное дошкольное образовательное учреждение центр развития ребенка - детский сад № 63 г. Томска</t>
  </si>
  <si>
    <t xml:space="preserve">Муниципальное бюджетное дошкольное образовательное учреждение детский сад общеразвивающего вида № 65 г. Томска  </t>
  </si>
  <si>
    <t xml:space="preserve">Муниципальное бюджетное дошкольное образовательное учреждение детский сад № 66 г. Томска    </t>
  </si>
  <si>
    <t xml:space="preserve">Муниципальное бюджетное дошкольное образовательное учреждение детский сад общеразвивающего вида № 72 г. Томска  </t>
  </si>
  <si>
    <t xml:space="preserve">Муниципальное автономное дошкольное образовательное учреждение детский сад общеразвивающего вида № 77 г. Томска </t>
  </si>
  <si>
    <t xml:space="preserve">Муниципальное автономное дошкольное образовательное учреждение центр развития ребенка - детский сад № 82 г.   Томска  </t>
  </si>
  <si>
    <t xml:space="preserve">Муниципальное автономное  дошкольное образовательное учреждение центр развития ребенка - детский сад № 83 г.   Томска  </t>
  </si>
  <si>
    <t xml:space="preserve">Муниципальное автономное дошкольное образовательное учреждение центр развития ребенка - детский сад № 85 г.   Томска  </t>
  </si>
  <si>
    <t xml:space="preserve">Муниципальное автономное дошкольное образовательное учреждение детский сад общеразвивающего вида № 86 г. Томска </t>
  </si>
  <si>
    <t>Муниципальное бюджетное дошкольное образовательное учреждение детский сад общеразвивающего вида № 88 г. Томска</t>
  </si>
  <si>
    <t xml:space="preserve">Муниципальное бюджетное дошкольное образовательное учреждение детский сад общеразвивающего вида № 89 г. Томска </t>
  </si>
  <si>
    <t xml:space="preserve">Муниципальное бюджетное дошкольное образовательное учреждение детский сад общеразвивающего вида № 93 г. Томска  </t>
  </si>
  <si>
    <t xml:space="preserve">Муниципальное автономное дошкольное образовательное учреждение центр развития ребенка - детский сад № 94 г.   Томска  </t>
  </si>
  <si>
    <t xml:space="preserve">Муниципальное автономное дошкольное образовательное учреждение центр развития ребенка - детский сад № 96 г.   Томска  </t>
  </si>
  <si>
    <t xml:space="preserve">Муниципальное автономное дошкольное образовательное учреждение детский сад комбинированного вида № 99 г. Томска  </t>
  </si>
  <si>
    <t xml:space="preserve">Муниципальное  автономное дошкольное образовательное учреждение центр развития ребенка - детский сад № 102   Томска  </t>
  </si>
  <si>
    <t xml:space="preserve">Муниципальное бюджетное дошкольное образовательное учреждение детский сад общеразвивающего вида № 103 г. Томска </t>
  </si>
  <si>
    <t xml:space="preserve">Муниципальное бюджетное дошкольное образовательное учреждение детский сад № 104 г. Томска  </t>
  </si>
  <si>
    <t xml:space="preserve">Муниципальное бюджетное дошкольное образовательное учреждение детский сад общеразвивающего вида № 116 г. Томска </t>
  </si>
  <si>
    <t>Муниципальное бюджетное дошкольное образовательное учреждение детский сад общеразвивающего вида № 133 г. Томска</t>
  </si>
  <si>
    <t xml:space="preserve">Муниципальное автономное дошкольное образовательное учреждение детский сад общеразвивающего вида № 134 г. Томска </t>
  </si>
  <si>
    <t xml:space="preserve">Муниципальное бюджетное дошкольное образовательное учреждение детский сад общеразвивающего вида № 135 г. Томска </t>
  </si>
  <si>
    <t xml:space="preserve">Муниципальное бюджетное общеобразовательное учреждение    Русская классическая гимназия № 2 г. Томска    </t>
  </si>
  <si>
    <t xml:space="preserve">Муниципальное автономное  общеобразовательное учреждение   средняя общеобразовательная школа № 3 г. Томска      </t>
  </si>
  <si>
    <t xml:space="preserve">Муниципальное казенное общеобразовательное учреждение      вечерняя (сменная) общеобразовательная школа № 4  г. Томска     </t>
  </si>
  <si>
    <t xml:space="preserve">Муниципальное автономное общеобразовательное учреждение гимназия  № 13 г. Томска     </t>
  </si>
  <si>
    <t xml:space="preserve">Муниципальное автономное общеобразовательное учреждение Заозерная средняя общеобразовательная школа с углубленным изучением отдельных предметов № 16 г. Томска      </t>
  </si>
  <si>
    <t xml:space="preserve">Муниципальное автономное общеобразовательное учреждение гимназия  № 18 г. Томска     </t>
  </si>
  <si>
    <t xml:space="preserve">Муниципальное автономное общеобразовательное учреждение, лицей № 8  имени  Н.Н. Рукавишникова г. Томска </t>
  </si>
  <si>
    <t xml:space="preserve">Муниципальное автономное общеобразовательное учреждение Гуманитарный лицей г. Томска   </t>
  </si>
  <si>
    <t xml:space="preserve">Муниципальное автономное общеобразовательное учреждение средняя общеобразовательная школа № 19 г. Томска     </t>
  </si>
  <si>
    <t xml:space="preserve">Муниципальное автономное общеобразовательное учреждение средняя общеобразовательная школа с углубленным изучением предметов художественно-эстетического цикла № 58 г. Томска       </t>
  </si>
  <si>
    <t xml:space="preserve">Муниципальное автономное общеобразовательное учреждение средняя общеобразовательная школа № 28 г. Томска      </t>
  </si>
  <si>
    <t xml:space="preserve">Муниципальное автономное общеобразовательное учреждение средняя общеобразовательная школа № 67 г. Томска      </t>
  </si>
  <si>
    <t xml:space="preserve">Муниципальное бюджетное учреждение "Централизованная   бухгалтерия по обслуживанию муниципальных   общеобразовательных учреждений г. Томска"     </t>
  </si>
  <si>
    <t xml:space="preserve">Муниципальное автономное общеобразовательное учреждение средняя общеобразовательная школа № 44 г. Томска      </t>
  </si>
  <si>
    <t xml:space="preserve">Муниципальное автономное общеобразовательное учреждение, средняя общеобразовательная школа № 30 г. Томска      </t>
  </si>
  <si>
    <t xml:space="preserve">Муниципальное автономное общеобразовательное учреждение средняя общеобразовательная школа № 64 г. Томска     </t>
  </si>
  <si>
    <t xml:space="preserve">Муниципальное автономное общеобразовательное учреждение лицей № 7 г. Томска   </t>
  </si>
  <si>
    <t xml:space="preserve">Муниципальное автономное общеобразовательное учреждение  средняя общеобразовательная школа № 12 г. Томска     </t>
  </si>
  <si>
    <t xml:space="preserve">Муниципальное автономное общеобразовательное учреждение средняя общеобразовательная школа № 14 г. Томска  имени А.Ф. Лебедева  </t>
  </si>
  <si>
    <t xml:space="preserve">Муниципальное автономное  общеобразовательное учреждение средняя общеобразовательная школа № 23 г. Томска       </t>
  </si>
  <si>
    <t xml:space="preserve">Муниципальное автономное  общеобразовательное учреждение средняя общеобразовательная школа № 4 имени И.С.Черных г. Томска   </t>
  </si>
  <si>
    <t xml:space="preserve">Муниципальное автономное общеобразовательное учреждение средняя общеобразовательная школа № 11 г. Томска   </t>
  </si>
  <si>
    <t xml:space="preserve">Муниципальное автономное дошкольное образовательное учреждение детский сад № 54 г. Томска   </t>
  </si>
  <si>
    <t xml:space="preserve">Муниципальное автономное общеобразовательное учреждение, средняя общеобразовательная школа № 47 г. Томска      </t>
  </si>
  <si>
    <t xml:space="preserve">Муниципальное автономное общеобразовательное учреждение средняя общеобразовательная школа № 22 г. Томска       </t>
  </si>
  <si>
    <t xml:space="preserve">Муниципальное автономное общеобразовательное учреждение средняя общеобразовательная школа № 38 г. Томска      </t>
  </si>
  <si>
    <t xml:space="preserve">Муниципальное автономное общеобразовательное учреждение средняя общеобразовательная школа № 42 г. Томска     </t>
  </si>
  <si>
    <t xml:space="preserve">Муниципальное автономное общеобразовательное учреждение средняя общеобразовательная школа № 53 г. Томска      </t>
  </si>
  <si>
    <t xml:space="preserve">Муниципальное автономное общеобразовательное учреждение средняя общеобразовательная школа № 2 г. Томска   </t>
  </si>
  <si>
    <t xml:space="preserve">Муниципальное автономное общеобразовательное учреждение средняя общеобразовательная школа № 15 им. Г.Е.Николаевой г. Томска      </t>
  </si>
  <si>
    <t xml:space="preserve">Муниципальное автономное общеобразовательное учреждение, гимназия № 26 г. Томска    </t>
  </si>
  <si>
    <t xml:space="preserve">Муниципальное автономное общеобразовательное учреждение, средняя общеобразовательная школа № 31 г. Томска     </t>
  </si>
  <si>
    <t xml:space="preserve">Муниципальное автономное общеобразовательное учреждение средняя общеобразовательная школа № 34 г. Томска     </t>
  </si>
  <si>
    <t xml:space="preserve">Муниципальное автономное общеобразовательное учреждение средняя общеобразовательная школа № 35 г. Томска      </t>
  </si>
  <si>
    <t xml:space="preserve">Муниципальное автономное общеобразовательное учреждение средняя общеобразовательная школа № 36 г. Томска      </t>
  </si>
  <si>
    <t xml:space="preserve">Муниципальное автономное общеобразовательное учреждение средняя общеобразовательная школа № 41 г. Томска      </t>
  </si>
  <si>
    <t xml:space="preserve">Муниципальное автономное общеобразовательное учреждение средняя общеобразовательная школа № 46 г. Томска       </t>
  </si>
  <si>
    <t xml:space="preserve">Муниципальное автономное общеобразовательное учреждение, средняя общеобразовательная школа № 51 города Томска      </t>
  </si>
  <si>
    <t xml:space="preserve">Муниципальное автономное общеобразовательное учреждение средняя общеобразовательная школа № 54 г. Томска     </t>
  </si>
  <si>
    <t xml:space="preserve">Муниципальное автономное общеобразовательное учреждение средняя общеобразовательная школа № 65 г. Томска        </t>
  </si>
  <si>
    <t>107</t>
  </si>
  <si>
    <t>144</t>
  </si>
  <si>
    <t xml:space="preserve">Муниципальное автономное дошкольное образовательное учреждение детский сад общеразвивающего вида № 48  г. Томска  </t>
  </si>
  <si>
    <t xml:space="preserve">Муниципальное автономное дошкольное образовательное учреждение детский сад компенсирующего вида № 22 г. Томска </t>
  </si>
  <si>
    <t xml:space="preserve">Муниципальное автономное дошкольное образовательное учреждение
детский сад общеразвивающего вида № 9 г. Томска  </t>
  </si>
  <si>
    <t>в том числе:</t>
  </si>
  <si>
    <t xml:space="preserve">Предельная штатная численность </t>
  </si>
  <si>
    <t>по полномочиям местного значения</t>
  </si>
  <si>
    <t>по переданным государственным полномочиям</t>
  </si>
  <si>
    <t xml:space="preserve">Муниципальное бюджетное общеобразовательное учреждение основная общеобразовательная школа № 66 г. Томска     </t>
  </si>
  <si>
    <t xml:space="preserve">Муниципальное автономное дошкольное образовательное учреждение детский сад общеразвивающего вида № 76 г. Томска  </t>
  </si>
  <si>
    <t xml:space="preserve">Муниципальное бюджетное учреждение "Централизованная бухгалтерия департамента образования администрации города Томска" </t>
  </si>
  <si>
    <t xml:space="preserve">Муниципальное автономное дошкольное образовательное учреждение детский сад комбинированного вида № 69 г. Томска  </t>
  </si>
  <si>
    <t xml:space="preserve">Муниципальное автономное дошкольное образовательное учреждение детский сад комбинированного вида № 95 г. Томска  </t>
  </si>
  <si>
    <t>32</t>
  </si>
  <si>
    <t>39</t>
  </si>
  <si>
    <t>69</t>
  </si>
  <si>
    <t xml:space="preserve">Муниципальное автономное  дошкольное образовательное учреждение детский сад общеразвивающего вида № 55 г. Томска  </t>
  </si>
  <si>
    <t xml:space="preserve">Муниципальное автономное дошкольное образовательное учреждение детский сад комбинированного вида № 24 г. Томска  </t>
  </si>
  <si>
    <t xml:space="preserve">Муниципальное бюджетное учреждение "Централизованная бухгалтерия по обслуживанию муниципальных дошкольных образовательных учреждений г. Томска"  </t>
  </si>
  <si>
    <t xml:space="preserve">Муниципальное бюджетное общеобразовательное учреждение общеобразовательная школа-интернат № 1 основного общего образования г. Томска      </t>
  </si>
  <si>
    <t xml:space="preserve">Муниципальное автономное общеобразовательное учреждение средняя общеобразовательная школа № 32 г. Томска       </t>
  </si>
  <si>
    <t>Муниципальное автономное дошкольное образовательное учреждение центр развития ребенка - детский сад № 3 г. Томска</t>
  </si>
  <si>
    <t xml:space="preserve">Муниципальное автономное дошкольное образовательное учреждение детский сад № 28 г. Томска   </t>
  </si>
  <si>
    <t xml:space="preserve">Муниципальное автономное дошкольное образовательное учреждение детский сад общеразвивающего вида № 73 г. Томска </t>
  </si>
  <si>
    <t xml:space="preserve">Муниципальное автономное дошкольное образовательное учреждение детский сад общеразвивающего вида № 79 г. Томска </t>
  </si>
  <si>
    <t xml:space="preserve">Муниципальное автономное дошкольное образовательное учреждение детский сад комбинированного вида № 100 г. Томска </t>
  </si>
  <si>
    <t xml:space="preserve">Муниципальное автономное дошкольное образовательное учреждение детский сад общеразвивающего вида № 57 г. Томска  </t>
  </si>
  <si>
    <t xml:space="preserve">Муниципальное автономное дошкольное образовательное учреждение детский сад общеразвивающего вида № 2 г. Томска </t>
  </si>
  <si>
    <t xml:space="preserve">Муниципальное автономное дошкольное образовательное учреждение детский сад общеразвивающего вида № 33 города Томска </t>
  </si>
  <si>
    <t xml:space="preserve">Муниципальное бюджетное общеобразовательное учреждение основная общеобразовательная школа для учащихся с ограниченными возможностями здоровья № 39 г. Томска      </t>
  </si>
  <si>
    <t>Муниципальное бюджетное общеобразовательное учреждение основная общеобразовательная школа для учащихся с ограниченными возможностями здоровья № 59 г. Томска</t>
  </si>
  <si>
    <t xml:space="preserve">Муниципальное бюджетное общеобразовательное учреждение основная общеобразовательная школа для учащихся с ограниченными возможностями здоровья № 45 г. Томска       </t>
  </si>
  <si>
    <t>Предельная штатная численность работников
муниципальных учреждений, в отношении которых функции и полномочия учредителя осуществляет департамент образования администрации Города Томска</t>
  </si>
  <si>
    <t>Муниципальное автономное общеобразовательное учреждение средняя общеобразовательная школа № 5 им. А.К.Ерохина г. Томска</t>
  </si>
  <si>
    <t>Муниципальное казенное общеобразовательное учреждение вечерняя (сменная) общеобразовательная школа № 8 г. Томска</t>
  </si>
  <si>
    <t>Муниципальное автономное общеобразовательное учреждение санаторно-лесная школа г. Томска</t>
  </si>
  <si>
    <t>Муниципальное бюджетное общеобразовательное учреждение прогимназия "Кристина" г. Томска</t>
  </si>
  <si>
    <t xml:space="preserve">Муниципальное автономное образовательное учреждение дополнительного образования Дворец творчества детей и молодежи г. Томска          </t>
  </si>
  <si>
    <t xml:space="preserve">Муниципальное автономное общеобразовательное учреждение основная общеобразовательная школа № 27 г. Томска      </t>
  </si>
  <si>
    <t>Муниципальное бюджетное общеобразовательное учреждение основная общеобразовательная школа-интернат для учащихся с ограниченными возможностями здоровья № 22 г. Томска</t>
  </si>
  <si>
    <t xml:space="preserve">Муниципальное автономное образовательное учреждение дополнительного образования  детский оздоровительно-образовательный (профильный) центр "Юниор" г. Томска          </t>
  </si>
  <si>
    <t xml:space="preserve">Муниципальное автономное образовательное учреждение дополнительного образования детско-юношеский центр "Звездочка" г. Томска          </t>
  </si>
  <si>
    <t xml:space="preserve">Муниципальное автономное образовательное учреждение дополнительного образования Центр детского творчества "Луч" г. Томска          </t>
  </si>
  <si>
    <t xml:space="preserve">Муниципальное автономное образовательное учреждение дополнительного образования Детско-юношеский центр "Синяя птица" г. Томска          </t>
  </si>
  <si>
    <t>Муниципальное автономное образовательное учреждение дополнительного образования  Центр дополнительного образования "Планирование карьеры" г.Томска</t>
  </si>
  <si>
    <t xml:space="preserve">Муниципальное автономное образовательное учреждение дополнительного образования Детско-юношеский центр "Республика бодрых" г. Томска          </t>
  </si>
  <si>
    <t xml:space="preserve">Муниципальное автономное образовательное учреждение дополнительного образования  Детская школа искусств № 4 г.Томска </t>
  </si>
  <si>
    <t xml:space="preserve">Муниципальное автономное дошкольное образовательное учреждение детский сад комбинированного вида № 1 г. Томска  </t>
  </si>
  <si>
    <t>Муниципальное автономное образовательное учреждение дополнительного образования  Центр творческого развития и гуманитарного образования «Томский Хобби-центр»</t>
  </si>
  <si>
    <t xml:space="preserve">Муниципальное бюджетное образовательное учреждение   дополнительного образования Дом детства и   юношества "Наша гавань" г. Томска        </t>
  </si>
  <si>
    <t xml:space="preserve">Муниципальное бюджетное дошкольное образовательное учреждение детский сад общеразвивающего вида № 4 "Монтессори" г. Томска    </t>
  </si>
  <si>
    <t xml:space="preserve">Муниципальное автономное образовательное учреждение   дополнительного образования  Дом детского творчества "У белого озера" г. Томска        </t>
  </si>
  <si>
    <t xml:space="preserve">Муниципальное автономное образовательное учреждение дополнительного образования  Дом детского творчества "Созвездие" г. Томска         </t>
  </si>
  <si>
    <t>Муниципальное бюджетное дошкольное образовательное учреждение детский сад комбинированного вида № 30 г. Томска</t>
  </si>
  <si>
    <t xml:space="preserve">Муниципальное бюджетное образовательное учреждение дополнительного образования Дом детского творчества "Планета" г. Томска         </t>
  </si>
  <si>
    <t xml:space="preserve">Муниципальное автономное общеобразовательное учреждение лицей № 1 имени  А.С. Пушкина г. Томска    </t>
  </si>
  <si>
    <t xml:space="preserve">Муниципальное бюджетное образовательное учреждение дополнительного образования  "Дом детского творчества "Искорка" города Томска          </t>
  </si>
  <si>
    <t xml:space="preserve">Муниципальное бюджетное образовательное учреждение дополнительного образования Дом детства и юношества "Факел" г. Томска         </t>
  </si>
  <si>
    <t xml:space="preserve">Муниципальное бюджетное образовательное учреждение дополнительного образования  Дом детства и юношества "Кедр" города Томска          </t>
  </si>
  <si>
    <t xml:space="preserve">Муниципальное  автономное образовательное учреждение дополнительного образования  Центр сибирского фольклора г. Томска          </t>
  </si>
  <si>
    <t xml:space="preserve">Приложение 1 
к постановлению администрации 
Города Томска 
от 17.05.2016 № 403
</t>
  </si>
  <si>
    <t>Изменения от 30.12.2016</t>
  </si>
  <si>
    <t>Итого с учетом изменения декабря</t>
  </si>
  <si>
    <t>Изменения</t>
  </si>
  <si>
    <t>Итого с учетом изменения 2017</t>
  </si>
  <si>
    <t xml:space="preserve">Муниципальное автономное образовательное учреждение дополнительного образования Дворец творчества детей и молодежи г. Томска (на период с 1 мая по 31 мая и с 1 сентября по 30 сентября)       </t>
  </si>
  <si>
    <t xml:space="preserve">Муниципальное автономное образовательное учреждение дополнительного образования Дворец творчества детей и молодежи г. Томска (на период с 1 июня по 31 августа)       </t>
  </si>
  <si>
    <t xml:space="preserve">Муниципальное автономное образовательное учреждение дополнительного образования Дворец творчества детей и молодежи г. Томска (на период с 1 января по 30 апреля и с 1 октября по 31 декабря)       </t>
  </si>
  <si>
    <t xml:space="preserve">Муниципальное автономное образовательное учреждение дополнительного образования  детский оздоровительно-образовательный (профильный) центр "Юниор" г. Томска  (на период с 1 мая по 31 мая и с 1 сентября по 30 сентября)              </t>
  </si>
  <si>
    <t xml:space="preserve">Муниципальное автономное образовательное учреждение дополнительного образования  детский оздоровительно-образовательный (профильный) центр "Юниор" г. Томска (на период с 1 июня по 31 августа)              </t>
  </si>
  <si>
    <t xml:space="preserve">Муниципальное автономное образовательное учреждение дополнительного образования  Центр творческого развития и гуманитарного образования «Томский Хобби-центр» (на период с 1 января по 30 апреля и с 1 октября по 31 декабря)  </t>
  </si>
  <si>
    <t xml:space="preserve">Муниципальное автономное образовательное учреждение дополнительного образования  Центр творческого развития и гуманитарного образования «Томский Хобби-центр» (на период с 1 мая по 31 мая и с 1 сентября по 30 сентября)   </t>
  </si>
  <si>
    <t xml:space="preserve">Муниципальное автономное образовательное учреждение дополнительного образования  Центр творческого развития и гуманитарного образования «Томский Хобби-центр» (на период с 1 июня по 31 августа)              </t>
  </si>
  <si>
    <t xml:space="preserve">Муниципальное автономное образовательное учреждение дополнительного образования  Дом детского творчества "Созвездие" г. Томска (на период с 1 мая по 31 мая и с 1 сентября по 30 сентября)   </t>
  </si>
  <si>
    <t xml:space="preserve">Муниципальное автономное образовательное учреждение дополнительного образования  Дом детского творчества "Созвездие" г. Томска (на период с 1 января по 30 апреля и с 1 октября по 31 декабря)     </t>
  </si>
  <si>
    <t xml:space="preserve">Муниципальное автономное образовательное учреждение дополнительного образования  Дом детского творчества "Созвездие" г. Томска (на период с 1 июня по 31 августа)          </t>
  </si>
  <si>
    <t>Муниципальное автономное дошкольное образовательное учреждение Центр развития ребенка - детский сад № 3 г. Томска</t>
  </si>
  <si>
    <t>Муниципальное бюджетное дошкольное образовательное учреждение Центр развития ребенка - детский сад № 20 г. Томска</t>
  </si>
  <si>
    <t>Муниципальное бюджетное дошкольное образовательное учреждение Центр развития ребенка - детский сад № 21 г. Томска</t>
  </si>
  <si>
    <t xml:space="preserve">Муниципальное автономное дошкольное образовательное учреждение детский сад комбинированного вида № 22 г. Томска </t>
  </si>
  <si>
    <t>Муниципальное бюджетное дошкольное образовательное учреждение Центр развития ребенка - детский сад № 23 г. Томска</t>
  </si>
  <si>
    <t xml:space="preserve">Муниципальное бюджетное дошкольное образовательное учреждение детский сад общеразвивающего вида № 27 г. Томска   </t>
  </si>
  <si>
    <t xml:space="preserve">Муниципальное автономное дошкольное образовательное учреждение детский сад общеразвивающего вида № 33 г. Томска </t>
  </si>
  <si>
    <t>Муниципальное бюджетное дошкольное образовательное учреждение детский сад общеразвивающего вида № 35 Города Томска</t>
  </si>
  <si>
    <t>Муниципальное автономное дошкольное образовательное учреждение Центр развития ребенка - детский сад № 63 г. Томска</t>
  </si>
  <si>
    <t xml:space="preserve">Муниципальное автономное дошкольное образовательное учреждение центр развития ребенка - детский сад № 82 г. Томска  </t>
  </si>
  <si>
    <t xml:space="preserve">Муниципальное автономное  дошкольное образовательное учреждение центр развития ребенка - детский сад № 83 г. Томска  </t>
  </si>
  <si>
    <t xml:space="preserve">Муниципальное автономное дошкольное образовательное учреждение центр развития ребенка - детский сад № 85 г. Томска  </t>
  </si>
  <si>
    <t xml:space="preserve">Муниципальное автономное дошкольное образовательное учреждение центр развития ребенка - детский сад № 94 г. Томска  </t>
  </si>
  <si>
    <t xml:space="preserve">Муниципальное  автономное дошкольное образовательное учреждение центр развития ребенка - детский сад № 102 Томска  </t>
  </si>
  <si>
    <t xml:space="preserve">Муниципальное автономное дошкольное образовательное учреждение детский сад общеразвивающего вида № 100  г. Томска </t>
  </si>
  <si>
    <t xml:space="preserve">Муниципальное автономное  общеобразовательное учреждение средняя общеобразовательная школа № 4 им. И.С.Черных г. Томска   </t>
  </si>
  <si>
    <t>Муниципальное автономное  общеобразовательное учреждение гимназия № 6 г. Томска</t>
  </si>
  <si>
    <t xml:space="preserve">Муниципальное автономное общеобразовательное учреждение лицей № 8  имени  Н.Н. Рукавишникова г. Томска </t>
  </si>
  <si>
    <t xml:space="preserve">Муниципальное автономное общеобразовательное учреждение средняя общеобразовательная школа № 11 им. В.И. Смирнова г. Томска   </t>
  </si>
  <si>
    <t xml:space="preserve">Муниципальное автономное общеобразовательное учреждение средняя общеобразовательная школа № 14 имени А.Ф. Лебедева  г. Томска  </t>
  </si>
  <si>
    <t>Муниципальное автономное общеобразовательное учреждение гимназия  № 24  имени  М.В. Октябрьской  г. Томска</t>
  </si>
  <si>
    <t xml:space="preserve">Муниципальное автономное общеобразовательное учреждение средняя общеобразовательная школа № 25 г. Томска      </t>
  </si>
  <si>
    <t xml:space="preserve">Муниципальное автономное общеобразовательное учреждение гимназия № 26 г. Томска    </t>
  </si>
  <si>
    <t xml:space="preserve">Муниципальное автономное общеобразовательное учреждение основная общеобразовательная школа № 27 им. Г.Н. Ворошилова  г. Томска      </t>
  </si>
  <si>
    <t xml:space="preserve">Муниципальное автономное общеобразовательное учреждение гимназия  № 29 г. Томска     </t>
  </si>
  <si>
    <t xml:space="preserve">Муниципальное автономное общеобразовательное учреждение средняя общеобразовательная школа № 30 г. Томска      </t>
  </si>
  <si>
    <t xml:space="preserve">Муниципальное автономное общеобразовательное учреждение средняя общеобразовательная школа № 31 г. Томска     </t>
  </si>
  <si>
    <t xml:space="preserve">Муниципальное автономное общеобразовательное учреждение средняя общеобразовательная школа № 34 имени 79-й Гвардейской стрелковой дивизии г. Томска     </t>
  </si>
  <si>
    <t xml:space="preserve">Муниципальное автономное общеобразовательное учреждение средняя общеобразовательная школа № 47 г. Томска      </t>
  </si>
  <si>
    <t xml:space="preserve">Муниципальное бюджетное общеобразовательное учреждение средняя общеобразовательная школа № 49 г. Томска       </t>
  </si>
  <si>
    <t xml:space="preserve">Муниципальное автономное общеобразовательное учреждение средняя общеобразовательная школа № 51 г. Томска      </t>
  </si>
  <si>
    <t xml:space="preserve">Муниципальное автономное общеобразовательное учреждение гимназия № 55 им. Е.Г. Версткиной г. Томска      </t>
  </si>
  <si>
    <t xml:space="preserve">Муниципальное автономное образовательное учреждение дополнительного образования  Детский оздоровительно-образовательный (профильный) центр "Юниор" г. Томска (на период с 1 января по 30 апреля и с 1 октября по 31 декабря)  </t>
  </si>
  <si>
    <t xml:space="preserve">Муниципальное автономное образовательное учреждение дополнительного образования Детско-юношеский центр "Звездочка" г. Томска          </t>
  </si>
  <si>
    <t xml:space="preserve">Муниципальное бюджетное образовательное учреждение дополнительного образования  Дом детства и юношества "КЕДР" г. Томска          </t>
  </si>
  <si>
    <t xml:space="preserve">Муниципальное бюджетное образовательное учреждение дополнительного образования  Дом детского творчества "Искорка" г. Томска          </t>
  </si>
  <si>
    <t xml:space="preserve">Муниципальное автономное образовательное учреждение   дополнительного образования  Дом детского творчества "У Белого озера" г. Томска        </t>
  </si>
  <si>
    <t xml:space="preserve">Муниципальное бюджетное образовательное учреждение   дополнительного образования Дом детства и юношества "Наша гавань" г. Томска        </t>
  </si>
  <si>
    <t xml:space="preserve">Муниципальное бюджетное учреждение централизованная бухгалтерия департамента образования администрации города Томска </t>
  </si>
  <si>
    <t xml:space="preserve">Муниципальное бюджетное учреждение централизованная   бухгалтерия по обслуживанию муниципальных общеобразовательных учреждений г. Томска     </t>
  </si>
  <si>
    <t>Муниципальное бюджетное учреждение централизованная бухгалтерия по обслуживанию муниципальных дошкольных образовательных учреждений г. Томска</t>
  </si>
  <si>
    <t xml:space="preserve">Муниципальное бюджетное дошкольное образовательное учреждение детский сад  комбинированного вида № 66 г. Томска    </t>
  </si>
  <si>
    <t>Муниципальное автономное общеобразовательное учреждение Школа "Перспектива" г. Томска</t>
  </si>
  <si>
    <t>Муниципальное бюджетное общеобразовательное учреждение средняя общеобразовательная школа № 70 г. Томска</t>
  </si>
  <si>
    <t>Муниципальное бюджетное общеобразовательное учреждение средняя общеобразовательная школа № 68 г. Томска</t>
  </si>
  <si>
    <t>161</t>
  </si>
  <si>
    <t>162</t>
  </si>
  <si>
    <t>163</t>
  </si>
  <si>
    <t>164</t>
  </si>
  <si>
    <t>Приложение 1 к постановлению 
администрации Города Томска 
от 27.12.2019 № 1334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</si>
</sst>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10" borderId="0" xfId="0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/>
    </xf>
    <xf numFmtId="4" fontId="3" fillId="32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12" borderId="0" xfId="0" applyFill="1" applyAlignment="1">
      <alignment/>
    </xf>
    <xf numFmtId="0" fontId="0" fillId="11" borderId="0" xfId="0" applyFill="1" applyAlignment="1">
      <alignment/>
    </xf>
    <xf numFmtId="2" fontId="0" fillId="11" borderId="0" xfId="0" applyNumberFormat="1" applyFill="1" applyAlignment="1">
      <alignment/>
    </xf>
    <xf numFmtId="4" fontId="7" fillId="0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5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" sqref="C1:E1"/>
    </sheetView>
  </sheetViews>
  <sheetFormatPr defaultColWidth="9.125" defaultRowHeight="12.75"/>
  <cols>
    <col min="1" max="1" width="7.50390625" style="7" customWidth="1"/>
    <col min="2" max="2" width="66.50390625" style="2" customWidth="1"/>
    <col min="3" max="3" width="13.50390625" style="2" customWidth="1"/>
    <col min="4" max="4" width="9.125" style="2" customWidth="1"/>
    <col min="5" max="5" width="13.50390625" style="2" customWidth="1"/>
    <col min="6" max="6" width="26.50390625" style="1" customWidth="1"/>
    <col min="7" max="16384" width="9.125" style="1" customWidth="1"/>
  </cols>
  <sheetData>
    <row r="1" spans="1:5" s="2" customFormat="1" ht="62.25" customHeight="1">
      <c r="A1" s="7"/>
      <c r="B1" s="13"/>
      <c r="C1" s="37" t="s">
        <v>393</v>
      </c>
      <c r="D1" s="38"/>
      <c r="E1" s="38"/>
    </row>
    <row r="2" spans="1:5" s="2" customFormat="1" ht="57.75" customHeight="1">
      <c r="A2" s="36" t="s">
        <v>300</v>
      </c>
      <c r="B2" s="36"/>
      <c r="C2" s="36"/>
      <c r="D2" s="36"/>
      <c r="E2" s="36"/>
    </row>
    <row r="3" spans="1:5" s="2" customFormat="1" ht="24" customHeight="1">
      <c r="A3" s="41" t="s">
        <v>16</v>
      </c>
      <c r="B3" s="42" t="s">
        <v>17</v>
      </c>
      <c r="C3" s="40" t="s">
        <v>273</v>
      </c>
      <c r="D3" s="39" t="s">
        <v>272</v>
      </c>
      <c r="E3" s="39"/>
    </row>
    <row r="4" spans="1:6" s="2" customFormat="1" ht="87.75" customHeight="1">
      <c r="A4" s="41"/>
      <c r="B4" s="42"/>
      <c r="C4" s="40"/>
      <c r="D4" s="10" t="s">
        <v>274</v>
      </c>
      <c r="E4" s="10" t="s">
        <v>275</v>
      </c>
      <c r="F4" s="21"/>
    </row>
    <row r="5" spans="1:6" s="2" customFormat="1" ht="27">
      <c r="A5" s="24" t="s">
        <v>22</v>
      </c>
      <c r="B5" s="3" t="s">
        <v>315</v>
      </c>
      <c r="C5" s="25">
        <f aca="true" t="shared" si="0" ref="C5:C33">D5+E5</f>
        <v>90.96000000000001</v>
      </c>
      <c r="D5" s="25">
        <f>47.03</f>
        <v>47.03</v>
      </c>
      <c r="E5" s="25">
        <f>43.93</f>
        <v>43.93</v>
      </c>
      <c r="F5" s="28"/>
    </row>
    <row r="6" spans="1:6" s="2" customFormat="1" ht="27">
      <c r="A6" s="24" t="s">
        <v>23</v>
      </c>
      <c r="B6" s="3" t="s">
        <v>295</v>
      </c>
      <c r="C6" s="25">
        <f t="shared" si="0"/>
        <v>86.07</v>
      </c>
      <c r="D6" s="25">
        <f>26.47+17.65</f>
        <v>44.12</v>
      </c>
      <c r="E6" s="25">
        <f>26.25+15.7</f>
        <v>41.95</v>
      </c>
      <c r="F6" s="22"/>
    </row>
    <row r="7" spans="1:6" s="2" customFormat="1" ht="27">
      <c r="A7" s="24" t="s">
        <v>24</v>
      </c>
      <c r="B7" s="3" t="s">
        <v>344</v>
      </c>
      <c r="C7" s="25">
        <f t="shared" si="0"/>
        <v>101.57</v>
      </c>
      <c r="D7" s="25">
        <f>49.37-2.25-0.5</f>
        <v>46.62</v>
      </c>
      <c r="E7" s="25">
        <v>54.95</v>
      </c>
      <c r="F7" s="27"/>
    </row>
    <row r="8" spans="1:5" s="30" customFormat="1" ht="27">
      <c r="A8" s="24" t="s">
        <v>25</v>
      </c>
      <c r="B8" s="3" t="s">
        <v>318</v>
      </c>
      <c r="C8" s="25">
        <f t="shared" si="0"/>
        <v>79.08000000000001</v>
      </c>
      <c r="D8" s="25">
        <f>44.95-0.5</f>
        <v>44.45</v>
      </c>
      <c r="E8" s="25">
        <v>34.63</v>
      </c>
    </row>
    <row r="9" spans="1:5" s="2" customFormat="1" ht="27">
      <c r="A9" s="24" t="s">
        <v>26</v>
      </c>
      <c r="B9" s="3" t="s">
        <v>177</v>
      </c>
      <c r="C9" s="25">
        <f t="shared" si="0"/>
        <v>189.76999999999998</v>
      </c>
      <c r="D9" s="25">
        <f>97.14-2</f>
        <v>95.14</v>
      </c>
      <c r="E9" s="25">
        <f>94.63</f>
        <v>94.63</v>
      </c>
    </row>
    <row r="10" spans="1:5" s="2" customFormat="1" ht="27">
      <c r="A10" s="24" t="s">
        <v>27</v>
      </c>
      <c r="B10" s="3" t="s">
        <v>178</v>
      </c>
      <c r="C10" s="25">
        <f t="shared" si="0"/>
        <v>198.3</v>
      </c>
      <c r="D10" s="25">
        <f>101.14-1.5</f>
        <v>99.64</v>
      </c>
      <c r="E10" s="25">
        <v>98.66</v>
      </c>
    </row>
    <row r="11" spans="1:5" s="2" customFormat="1" ht="27">
      <c r="A11" s="24" t="s">
        <v>28</v>
      </c>
      <c r="B11" s="3" t="s">
        <v>179</v>
      </c>
      <c r="C11" s="25">
        <f t="shared" si="0"/>
        <v>112.78</v>
      </c>
      <c r="D11" s="25">
        <f>54.68</f>
        <v>54.68</v>
      </c>
      <c r="E11" s="25">
        <f>58.1</f>
        <v>58.1</v>
      </c>
    </row>
    <row r="12" spans="1:5" s="2" customFormat="1" ht="35.25" customHeight="1">
      <c r="A12" s="24" t="s">
        <v>29</v>
      </c>
      <c r="B12" s="34" t="s">
        <v>271</v>
      </c>
      <c r="C12" s="35">
        <f>D12+E12</f>
        <v>63.379999999999995</v>
      </c>
      <c r="D12" s="35">
        <v>28.7</v>
      </c>
      <c r="E12" s="35">
        <v>34.68</v>
      </c>
    </row>
    <row r="13" spans="1:5" s="2" customFormat="1" ht="27">
      <c r="A13" s="24" t="s">
        <v>30</v>
      </c>
      <c r="B13" s="3" t="s">
        <v>180</v>
      </c>
      <c r="C13" s="25">
        <f t="shared" si="0"/>
        <v>92.5</v>
      </c>
      <c r="D13" s="25">
        <f>49.83-0.5</f>
        <v>49.33</v>
      </c>
      <c r="E13" s="25">
        <v>43.17</v>
      </c>
    </row>
    <row r="14" spans="1:5" s="2" customFormat="1" ht="27">
      <c r="A14" s="24" t="s">
        <v>31</v>
      </c>
      <c r="B14" s="3" t="s">
        <v>181</v>
      </c>
      <c r="C14" s="25">
        <f t="shared" si="0"/>
        <v>175.51999999999998</v>
      </c>
      <c r="D14" s="25">
        <v>80.71</v>
      </c>
      <c r="E14" s="25">
        <v>94.81</v>
      </c>
    </row>
    <row r="15" spans="1:5" s="2" customFormat="1" ht="32.25" customHeight="1">
      <c r="A15" s="24" t="s">
        <v>32</v>
      </c>
      <c r="B15" s="3" t="s">
        <v>182</v>
      </c>
      <c r="C15" s="25">
        <f t="shared" si="0"/>
        <v>121.42999999999999</v>
      </c>
      <c r="D15" s="25">
        <f>70.63-1.5</f>
        <v>69.13</v>
      </c>
      <c r="E15" s="25">
        <f>52.3</f>
        <v>52.3</v>
      </c>
    </row>
    <row r="16" spans="1:5" s="30" customFormat="1" ht="27">
      <c r="A16" s="24" t="s">
        <v>33</v>
      </c>
      <c r="B16" s="3" t="s">
        <v>184</v>
      </c>
      <c r="C16" s="25">
        <f t="shared" si="0"/>
        <v>41.379999999999995</v>
      </c>
      <c r="D16" s="25">
        <v>21.58</v>
      </c>
      <c r="E16" s="25">
        <v>19.8</v>
      </c>
    </row>
    <row r="17" spans="1:5" s="30" customFormat="1" ht="27">
      <c r="A17" s="24" t="s">
        <v>34</v>
      </c>
      <c r="B17" s="3" t="s">
        <v>185</v>
      </c>
      <c r="C17" s="25">
        <f>D17+E17</f>
        <v>50.34</v>
      </c>
      <c r="D17" s="25">
        <f>23.35</f>
        <v>23.35</v>
      </c>
      <c r="E17" s="25">
        <f>26.99</f>
        <v>26.99</v>
      </c>
    </row>
    <row r="18" spans="1:5" s="30" customFormat="1" ht="27">
      <c r="A18" s="24" t="s">
        <v>35</v>
      </c>
      <c r="B18" s="3" t="s">
        <v>345</v>
      </c>
      <c r="C18" s="25">
        <f t="shared" si="0"/>
        <v>98.42</v>
      </c>
      <c r="D18" s="25">
        <f>47.71-1</f>
        <v>46.71</v>
      </c>
      <c r="E18" s="25">
        <v>51.71</v>
      </c>
    </row>
    <row r="19" spans="1:5" s="30" customFormat="1" ht="27">
      <c r="A19" s="24" t="s">
        <v>36</v>
      </c>
      <c r="B19" s="3" t="s">
        <v>346</v>
      </c>
      <c r="C19" s="25">
        <f t="shared" si="0"/>
        <v>211.74</v>
      </c>
      <c r="D19" s="25">
        <f>109.77-1</f>
        <v>108.77</v>
      </c>
      <c r="E19" s="25">
        <f>102.97</f>
        <v>102.97</v>
      </c>
    </row>
    <row r="20" spans="1:5" s="2" customFormat="1" ht="27">
      <c r="A20" s="24" t="s">
        <v>37</v>
      </c>
      <c r="B20" s="3" t="s">
        <v>347</v>
      </c>
      <c r="C20" s="25">
        <f t="shared" si="0"/>
        <v>61.95</v>
      </c>
      <c r="D20" s="25">
        <f>26</f>
        <v>26</v>
      </c>
      <c r="E20" s="25">
        <v>35.95</v>
      </c>
    </row>
    <row r="21" spans="1:5" s="30" customFormat="1" ht="27">
      <c r="A21" s="24" t="s">
        <v>38</v>
      </c>
      <c r="B21" s="3" t="s">
        <v>348</v>
      </c>
      <c r="C21" s="25">
        <f t="shared" si="0"/>
        <v>51.42</v>
      </c>
      <c r="D21" s="25">
        <v>25.38</v>
      </c>
      <c r="E21" s="25">
        <v>26.04</v>
      </c>
    </row>
    <row r="22" spans="1:5" s="2" customFormat="1" ht="27">
      <c r="A22" s="24" t="s">
        <v>39</v>
      </c>
      <c r="B22" s="3" t="s">
        <v>285</v>
      </c>
      <c r="C22" s="25">
        <f t="shared" si="0"/>
        <v>75.24000000000001</v>
      </c>
      <c r="D22" s="25">
        <v>35.82</v>
      </c>
      <c r="E22" s="25">
        <v>39.42</v>
      </c>
    </row>
    <row r="23" spans="1:5" s="30" customFormat="1" ht="27">
      <c r="A23" s="24" t="s">
        <v>40</v>
      </c>
      <c r="B23" s="3" t="s">
        <v>349</v>
      </c>
      <c r="C23" s="25">
        <f t="shared" si="0"/>
        <v>87.32</v>
      </c>
      <c r="D23" s="25">
        <v>51.4</v>
      </c>
      <c r="E23" s="25">
        <f>35.92</f>
        <v>35.92</v>
      </c>
    </row>
    <row r="24" spans="1:5" s="2" customFormat="1" ht="27">
      <c r="A24" s="24" t="s">
        <v>41</v>
      </c>
      <c r="B24" s="3" t="s">
        <v>290</v>
      </c>
      <c r="C24" s="25">
        <f>D24+E24</f>
        <v>193.14</v>
      </c>
      <c r="D24" s="25">
        <f>100.76-4</f>
        <v>96.76</v>
      </c>
      <c r="E24" s="25">
        <f>96.38</f>
        <v>96.38</v>
      </c>
    </row>
    <row r="25" spans="1:5" s="30" customFormat="1" ht="27">
      <c r="A25" s="24" t="s">
        <v>42</v>
      </c>
      <c r="B25" s="3" t="s">
        <v>321</v>
      </c>
      <c r="C25" s="25">
        <f t="shared" si="0"/>
        <v>46.56</v>
      </c>
      <c r="D25" s="25">
        <v>21.73</v>
      </c>
      <c r="E25" s="25">
        <v>24.83</v>
      </c>
    </row>
    <row r="26" spans="1:5" s="2" customFormat="1" ht="27">
      <c r="A26" s="24" t="s">
        <v>43</v>
      </c>
      <c r="B26" s="3" t="s">
        <v>350</v>
      </c>
      <c r="C26" s="25">
        <f t="shared" si="0"/>
        <v>71.75</v>
      </c>
      <c r="D26" s="25">
        <v>37.85</v>
      </c>
      <c r="E26" s="25">
        <v>33.9</v>
      </c>
    </row>
    <row r="27" spans="1:5" s="30" customFormat="1" ht="27">
      <c r="A27" s="24" t="s">
        <v>44</v>
      </c>
      <c r="B27" s="3" t="s">
        <v>351</v>
      </c>
      <c r="C27" s="25">
        <f t="shared" si="0"/>
        <v>87.13</v>
      </c>
      <c r="D27" s="25">
        <f>46.43-0.5</f>
        <v>45.93</v>
      </c>
      <c r="E27" s="25">
        <v>41.2</v>
      </c>
    </row>
    <row r="28" spans="1:5" s="2" customFormat="1" ht="27">
      <c r="A28" s="24" t="s">
        <v>45</v>
      </c>
      <c r="B28" s="3" t="s">
        <v>192</v>
      </c>
      <c r="C28" s="25">
        <f t="shared" si="0"/>
        <v>131.72</v>
      </c>
      <c r="D28" s="25">
        <f>63.3-0.5</f>
        <v>62.8</v>
      </c>
      <c r="E28" s="25">
        <f>68.92</f>
        <v>68.92</v>
      </c>
    </row>
    <row r="29" spans="1:5" s="2" customFormat="1" ht="27">
      <c r="A29" s="24" t="s">
        <v>46</v>
      </c>
      <c r="B29" s="3" t="s">
        <v>193</v>
      </c>
      <c r="C29" s="25">
        <f t="shared" si="0"/>
        <v>90.12</v>
      </c>
      <c r="D29" s="25">
        <f>46.47-2.5</f>
        <v>43.97</v>
      </c>
      <c r="E29" s="25">
        <f>46.15</f>
        <v>46.15</v>
      </c>
    </row>
    <row r="30" spans="1:5" s="2" customFormat="1" ht="27">
      <c r="A30" s="24" t="s">
        <v>47</v>
      </c>
      <c r="B30" s="3" t="s">
        <v>194</v>
      </c>
      <c r="C30" s="25">
        <f t="shared" si="0"/>
        <v>167.73000000000002</v>
      </c>
      <c r="D30" s="25">
        <f>86.65-1-1.55</f>
        <v>84.10000000000001</v>
      </c>
      <c r="E30" s="25">
        <f>83.63</f>
        <v>83.63</v>
      </c>
    </row>
    <row r="31" spans="1:5" s="2" customFormat="1" ht="27">
      <c r="A31" s="24" t="s">
        <v>48</v>
      </c>
      <c r="B31" s="3" t="s">
        <v>195</v>
      </c>
      <c r="C31" s="25">
        <f t="shared" si="0"/>
        <v>75</v>
      </c>
      <c r="D31" s="25">
        <f>33.12-1.5</f>
        <v>31.619999999999997</v>
      </c>
      <c r="E31" s="25">
        <v>43.38</v>
      </c>
    </row>
    <row r="32" spans="1:5" s="2" customFormat="1" ht="27">
      <c r="A32" s="24" t="s">
        <v>49</v>
      </c>
      <c r="B32" s="3" t="s">
        <v>196</v>
      </c>
      <c r="C32" s="25">
        <f t="shared" si="0"/>
        <v>139.91</v>
      </c>
      <c r="D32" s="25">
        <f>70.66-4.5</f>
        <v>66.16</v>
      </c>
      <c r="E32" s="25">
        <v>73.75</v>
      </c>
    </row>
    <row r="33" spans="1:5" s="2" customFormat="1" ht="27">
      <c r="A33" s="24" t="s">
        <v>50</v>
      </c>
      <c r="B33" s="3" t="s">
        <v>197</v>
      </c>
      <c r="C33" s="25">
        <f t="shared" si="0"/>
        <v>90.81</v>
      </c>
      <c r="D33" s="25">
        <v>44.14</v>
      </c>
      <c r="E33" s="25">
        <v>46.67</v>
      </c>
    </row>
    <row r="34" spans="1:5" s="2" customFormat="1" ht="27">
      <c r="A34" s="24" t="s">
        <v>51</v>
      </c>
      <c r="B34" s="3" t="s">
        <v>269</v>
      </c>
      <c r="C34" s="25">
        <f aca="true" t="shared" si="1" ref="C34:C65">D34+E34</f>
        <v>168.25</v>
      </c>
      <c r="D34" s="25">
        <f>79.1-2</f>
        <v>77.1</v>
      </c>
      <c r="E34" s="25">
        <f>91.15</f>
        <v>91.15</v>
      </c>
    </row>
    <row r="35" spans="1:5" s="2" customFormat="1" ht="27">
      <c r="A35" s="24" t="s">
        <v>52</v>
      </c>
      <c r="B35" s="3" t="s">
        <v>198</v>
      </c>
      <c r="C35" s="25">
        <f t="shared" si="1"/>
        <v>123.61</v>
      </c>
      <c r="D35" s="25">
        <f>66.76-2.5</f>
        <v>64.26</v>
      </c>
      <c r="E35" s="25">
        <v>59.349999999999994</v>
      </c>
    </row>
    <row r="36" spans="1:5" s="2" customFormat="1" ht="27">
      <c r="A36" s="24" t="s">
        <v>281</v>
      </c>
      <c r="B36" s="3" t="s">
        <v>199</v>
      </c>
      <c r="C36" s="25">
        <f t="shared" si="1"/>
        <v>221.14</v>
      </c>
      <c r="D36" s="25">
        <f>108.81-3-1.74</f>
        <v>104.07000000000001</v>
      </c>
      <c r="E36" s="25">
        <f>117.07</f>
        <v>117.07</v>
      </c>
    </row>
    <row r="37" spans="1:5" s="2" customFormat="1" ht="27">
      <c r="A37" s="24" t="s">
        <v>53</v>
      </c>
      <c r="B37" s="3" t="s">
        <v>200</v>
      </c>
      <c r="C37" s="25">
        <f t="shared" si="1"/>
        <v>181.14</v>
      </c>
      <c r="D37" s="25">
        <v>88.45</v>
      </c>
      <c r="E37" s="25">
        <f>92.69</f>
        <v>92.69</v>
      </c>
    </row>
    <row r="38" spans="1:5" s="2" customFormat="1" ht="27">
      <c r="A38" s="24" t="s">
        <v>54</v>
      </c>
      <c r="B38" s="3" t="s">
        <v>249</v>
      </c>
      <c r="C38" s="25">
        <f t="shared" si="1"/>
        <v>138.65</v>
      </c>
      <c r="D38" s="25">
        <f>70.65</f>
        <v>70.65</v>
      </c>
      <c r="E38" s="25">
        <f>68</f>
        <v>68</v>
      </c>
    </row>
    <row r="39" spans="1:5" s="2" customFormat="1" ht="27">
      <c r="A39" s="24" t="s">
        <v>55</v>
      </c>
      <c r="B39" s="3" t="s">
        <v>284</v>
      </c>
      <c r="C39" s="25">
        <f t="shared" si="1"/>
        <v>83.75999999999999</v>
      </c>
      <c r="D39" s="25">
        <f>40.76-1</f>
        <v>39.76</v>
      </c>
      <c r="E39" s="25">
        <f>44</f>
        <v>44</v>
      </c>
    </row>
    <row r="40" spans="1:5" s="2" customFormat="1" ht="27">
      <c r="A40" s="24" t="s">
        <v>56</v>
      </c>
      <c r="B40" s="3" t="s">
        <v>201</v>
      </c>
      <c r="C40" s="25">
        <f t="shared" si="1"/>
        <v>79.72</v>
      </c>
      <c r="D40" s="25">
        <v>39.58</v>
      </c>
      <c r="E40" s="25">
        <v>40.14</v>
      </c>
    </row>
    <row r="41" spans="1:5" s="2" customFormat="1" ht="27">
      <c r="A41" s="24" t="s">
        <v>57</v>
      </c>
      <c r="B41" s="3" t="s">
        <v>294</v>
      </c>
      <c r="C41" s="25">
        <f t="shared" si="1"/>
        <v>137.44</v>
      </c>
      <c r="D41" s="25">
        <v>64.68</v>
      </c>
      <c r="E41" s="25">
        <v>72.76</v>
      </c>
    </row>
    <row r="42" spans="1:5" s="2" customFormat="1" ht="27">
      <c r="A42" s="24" t="s">
        <v>58</v>
      </c>
      <c r="B42" s="3" t="s">
        <v>202</v>
      </c>
      <c r="C42" s="25">
        <f>D42+E42</f>
        <v>146.53</v>
      </c>
      <c r="D42" s="25">
        <f>41.06+30.35-2</f>
        <v>69.41</v>
      </c>
      <c r="E42" s="25">
        <v>77.12</v>
      </c>
    </row>
    <row r="43" spans="1:5" s="2" customFormat="1" ht="27">
      <c r="A43" s="24" t="s">
        <v>282</v>
      </c>
      <c r="B43" s="3" t="s">
        <v>203</v>
      </c>
      <c r="C43" s="25">
        <f t="shared" si="1"/>
        <v>115.77000000000001</v>
      </c>
      <c r="D43" s="25">
        <v>58.85</v>
      </c>
      <c r="E43" s="25">
        <v>56.92</v>
      </c>
    </row>
    <row r="44" spans="1:5" s="30" customFormat="1" ht="27">
      <c r="A44" s="24" t="s">
        <v>59</v>
      </c>
      <c r="B44" s="3" t="s">
        <v>204</v>
      </c>
      <c r="C44" s="25">
        <f t="shared" si="1"/>
        <v>133.9</v>
      </c>
      <c r="D44" s="25">
        <f>70.7</f>
        <v>70.7</v>
      </c>
      <c r="E44" s="25">
        <f>63.2</f>
        <v>63.2</v>
      </c>
    </row>
    <row r="45" spans="1:5" s="2" customFormat="1" ht="27">
      <c r="A45" s="24" t="s">
        <v>60</v>
      </c>
      <c r="B45" s="3" t="s">
        <v>352</v>
      </c>
      <c r="C45" s="25">
        <f t="shared" si="1"/>
        <v>115.56</v>
      </c>
      <c r="D45" s="25">
        <f>56.56-3</f>
        <v>53.56</v>
      </c>
      <c r="E45" s="25">
        <f>62</f>
        <v>62</v>
      </c>
    </row>
    <row r="46" spans="1:5" s="30" customFormat="1" ht="27">
      <c r="A46" s="24" t="s">
        <v>61</v>
      </c>
      <c r="B46" s="3" t="s">
        <v>206</v>
      </c>
      <c r="C46" s="25">
        <f t="shared" si="1"/>
        <v>65.28</v>
      </c>
      <c r="D46" s="25">
        <f>33.88-2</f>
        <v>31.880000000000003</v>
      </c>
      <c r="E46" s="25">
        <v>33.4</v>
      </c>
    </row>
    <row r="47" spans="1:5" s="30" customFormat="1" ht="27">
      <c r="A47" s="24" t="s">
        <v>62</v>
      </c>
      <c r="B47" s="3" t="s">
        <v>385</v>
      </c>
      <c r="C47" s="25">
        <f t="shared" si="1"/>
        <v>73.64</v>
      </c>
      <c r="D47" s="25">
        <f>37.39</f>
        <v>37.39</v>
      </c>
      <c r="E47" s="25">
        <v>36.25</v>
      </c>
    </row>
    <row r="48" spans="1:5" s="2" customFormat="1" ht="27">
      <c r="A48" s="24" t="s">
        <v>63</v>
      </c>
      <c r="B48" s="3" t="s">
        <v>279</v>
      </c>
      <c r="C48" s="25">
        <f t="shared" si="1"/>
        <v>105.01</v>
      </c>
      <c r="D48" s="25">
        <v>53.49</v>
      </c>
      <c r="E48" s="25">
        <v>51.52</v>
      </c>
    </row>
    <row r="49" spans="1:5" s="30" customFormat="1" ht="27">
      <c r="A49" s="24" t="s">
        <v>64</v>
      </c>
      <c r="B49" s="3" t="s">
        <v>208</v>
      </c>
      <c r="C49" s="25">
        <f t="shared" si="1"/>
        <v>64.32000000000001</v>
      </c>
      <c r="D49" s="25">
        <f>34.45-1</f>
        <v>33.45</v>
      </c>
      <c r="E49" s="25">
        <v>30.87</v>
      </c>
    </row>
    <row r="50" spans="1:5" s="2" customFormat="1" ht="27">
      <c r="A50" s="24" t="s">
        <v>65</v>
      </c>
      <c r="B50" s="3" t="s">
        <v>291</v>
      </c>
      <c r="C50" s="25">
        <f t="shared" si="1"/>
        <v>203.59</v>
      </c>
      <c r="D50" s="25">
        <f>85.63-3.25+12.75</f>
        <v>95.13</v>
      </c>
      <c r="E50" s="25">
        <f>80.31+28.15</f>
        <v>108.46000000000001</v>
      </c>
    </row>
    <row r="51" spans="1:5" s="2" customFormat="1" ht="27">
      <c r="A51" s="24" t="s">
        <v>66</v>
      </c>
      <c r="B51" s="3" t="s">
        <v>277</v>
      </c>
      <c r="C51" s="25">
        <f t="shared" si="1"/>
        <v>159.13</v>
      </c>
      <c r="D51" s="25">
        <f>50.52+28.7</f>
        <v>79.22</v>
      </c>
      <c r="E51" s="25">
        <f>45.23+34.68</f>
        <v>79.91</v>
      </c>
    </row>
    <row r="52" spans="1:5" s="2" customFormat="1" ht="27">
      <c r="A52" s="24" t="s">
        <v>67</v>
      </c>
      <c r="B52" s="3" t="s">
        <v>209</v>
      </c>
      <c r="C52" s="25">
        <f t="shared" si="1"/>
        <v>83.97999999999999</v>
      </c>
      <c r="D52" s="25">
        <f>39.65-1.5</f>
        <v>38.15</v>
      </c>
      <c r="E52" s="25">
        <v>45.83</v>
      </c>
    </row>
    <row r="53" spans="1:5" s="2" customFormat="1" ht="27">
      <c r="A53" s="24" t="s">
        <v>68</v>
      </c>
      <c r="B53" s="3" t="s">
        <v>292</v>
      </c>
      <c r="C53" s="25">
        <f t="shared" si="1"/>
        <v>133.51</v>
      </c>
      <c r="D53" s="25">
        <v>63.09</v>
      </c>
      <c r="E53" s="25">
        <v>70.42</v>
      </c>
    </row>
    <row r="54" spans="1:5" s="2" customFormat="1" ht="27">
      <c r="A54" s="24" t="s">
        <v>69</v>
      </c>
      <c r="B54" s="3" t="s">
        <v>353</v>
      </c>
      <c r="C54" s="25">
        <f t="shared" si="1"/>
        <v>189.81</v>
      </c>
      <c r="D54" s="25">
        <f>104.08-5.9</f>
        <v>98.17999999999999</v>
      </c>
      <c r="E54" s="25">
        <f>91.63</f>
        <v>91.63</v>
      </c>
    </row>
    <row r="55" spans="1:5" s="2" customFormat="1" ht="27">
      <c r="A55" s="24" t="s">
        <v>70</v>
      </c>
      <c r="B55" s="3" t="s">
        <v>354</v>
      </c>
      <c r="C55" s="25">
        <f t="shared" si="1"/>
        <v>168.47</v>
      </c>
      <c r="D55" s="25">
        <f>86.44-1.5</f>
        <v>84.94</v>
      </c>
      <c r="E55" s="25">
        <f>83.53</f>
        <v>83.53</v>
      </c>
    </row>
    <row r="56" spans="1:5" s="2" customFormat="1" ht="27">
      <c r="A56" s="24" t="s">
        <v>71</v>
      </c>
      <c r="B56" s="3" t="s">
        <v>355</v>
      </c>
      <c r="C56" s="25">
        <f t="shared" si="1"/>
        <v>224.17</v>
      </c>
      <c r="D56" s="25">
        <f>113.94-1-0.15</f>
        <v>112.78999999999999</v>
      </c>
      <c r="E56" s="25">
        <v>111.38</v>
      </c>
    </row>
    <row r="57" spans="1:5" s="2" customFormat="1" ht="27">
      <c r="A57" s="24" t="s">
        <v>72</v>
      </c>
      <c r="B57" s="3" t="s">
        <v>213</v>
      </c>
      <c r="C57" s="25">
        <f t="shared" si="1"/>
        <v>92.57</v>
      </c>
      <c r="D57" s="25">
        <f>50.25-3</f>
        <v>47.25</v>
      </c>
      <c r="E57" s="25">
        <v>45.32</v>
      </c>
    </row>
    <row r="58" spans="1:5" s="30" customFormat="1" ht="27">
      <c r="A58" s="24" t="s">
        <v>73</v>
      </c>
      <c r="B58" s="3" t="s">
        <v>214</v>
      </c>
      <c r="C58" s="25">
        <f t="shared" si="1"/>
        <v>75.93</v>
      </c>
      <c r="D58" s="25">
        <v>37.8</v>
      </c>
      <c r="E58" s="25">
        <v>38.13</v>
      </c>
    </row>
    <row r="59" spans="1:5" s="30" customFormat="1" ht="27">
      <c r="A59" s="24" t="s">
        <v>74</v>
      </c>
      <c r="B59" s="3" t="s">
        <v>215</v>
      </c>
      <c r="C59" s="25">
        <f t="shared" si="1"/>
        <v>92.69</v>
      </c>
      <c r="D59" s="25">
        <f>42.3+1</f>
        <v>43.3</v>
      </c>
      <c r="E59" s="25">
        <v>49.39</v>
      </c>
    </row>
    <row r="60" spans="1:5" s="30" customFormat="1" ht="27">
      <c r="A60" s="24" t="s">
        <v>75</v>
      </c>
      <c r="B60" s="3" t="s">
        <v>216</v>
      </c>
      <c r="C60" s="25">
        <f t="shared" si="1"/>
        <v>111.88</v>
      </c>
      <c r="D60" s="25">
        <v>53.58</v>
      </c>
      <c r="E60" s="25">
        <f>58.3</f>
        <v>58.3</v>
      </c>
    </row>
    <row r="61" spans="1:5" s="2" customFormat="1" ht="27">
      <c r="A61" s="24" t="s">
        <v>76</v>
      </c>
      <c r="B61" s="3" t="s">
        <v>356</v>
      </c>
      <c r="C61" s="25">
        <f t="shared" si="1"/>
        <v>127.75</v>
      </c>
      <c r="D61" s="25">
        <f>67.52-3.75</f>
        <v>63.769999999999996</v>
      </c>
      <c r="E61" s="25">
        <f>63.98</f>
        <v>63.98</v>
      </c>
    </row>
    <row r="62" spans="1:5" s="2" customFormat="1" ht="27">
      <c r="A62" s="24" t="s">
        <v>77</v>
      </c>
      <c r="B62" s="3" t="s">
        <v>280</v>
      </c>
      <c r="C62" s="25">
        <f t="shared" si="1"/>
        <v>129.26</v>
      </c>
      <c r="D62" s="25">
        <v>66.67</v>
      </c>
      <c r="E62" s="25">
        <f>62.59</f>
        <v>62.59</v>
      </c>
    </row>
    <row r="63" spans="1:5" s="2" customFormat="1" ht="27">
      <c r="A63" s="24" t="s">
        <v>78</v>
      </c>
      <c r="B63" s="3" t="s">
        <v>218</v>
      </c>
      <c r="C63" s="25">
        <f t="shared" si="1"/>
        <v>122.80000000000001</v>
      </c>
      <c r="D63" s="25">
        <v>54.01</v>
      </c>
      <c r="E63" s="25">
        <v>68.79</v>
      </c>
    </row>
    <row r="64" spans="1:5" s="2" customFormat="1" ht="27">
      <c r="A64" s="24" t="s">
        <v>79</v>
      </c>
      <c r="B64" s="3" t="s">
        <v>219</v>
      </c>
      <c r="C64" s="25">
        <f t="shared" si="1"/>
        <v>130.95999999999998</v>
      </c>
      <c r="D64" s="25">
        <f>68.46-1</f>
        <v>67.46</v>
      </c>
      <c r="E64" s="25">
        <f>63.5</f>
        <v>63.5</v>
      </c>
    </row>
    <row r="65" spans="1:5" s="2" customFormat="1" ht="27">
      <c r="A65" s="24" t="s">
        <v>80</v>
      </c>
      <c r="B65" s="3" t="s">
        <v>358</v>
      </c>
      <c r="C65" s="25">
        <f t="shared" si="1"/>
        <v>53.15</v>
      </c>
      <c r="D65" s="25">
        <v>29.01</v>
      </c>
      <c r="E65" s="25">
        <v>24.139999999999997</v>
      </c>
    </row>
    <row r="66" spans="1:5" s="2" customFormat="1" ht="27">
      <c r="A66" s="24" t="s">
        <v>81</v>
      </c>
      <c r="B66" s="3" t="s">
        <v>357</v>
      </c>
      <c r="C66" s="25">
        <f aca="true" t="shared" si="2" ref="C66:C97">D66+E66</f>
        <v>84.71000000000001</v>
      </c>
      <c r="D66" s="25">
        <v>40.46</v>
      </c>
      <c r="E66" s="25">
        <v>44.25</v>
      </c>
    </row>
    <row r="67" spans="1:5" s="30" customFormat="1" ht="27">
      <c r="A67" s="24" t="s">
        <v>82</v>
      </c>
      <c r="B67" s="3" t="s">
        <v>221</v>
      </c>
      <c r="C67" s="25">
        <f t="shared" si="2"/>
        <v>112.36</v>
      </c>
      <c r="D67" s="25">
        <f>59.64</f>
        <v>59.64</v>
      </c>
      <c r="E67" s="25">
        <f>52.72</f>
        <v>52.72</v>
      </c>
    </row>
    <row r="68" spans="1:5" s="30" customFormat="1" ht="27">
      <c r="A68" s="24" t="s">
        <v>83</v>
      </c>
      <c r="B68" s="3" t="s">
        <v>222</v>
      </c>
      <c r="C68" s="25">
        <f t="shared" si="2"/>
        <v>111.91</v>
      </c>
      <c r="D68" s="25">
        <f>59-1-0.5</f>
        <v>57.5</v>
      </c>
      <c r="E68" s="25">
        <v>54.410000000000004</v>
      </c>
    </row>
    <row r="69" spans="1:5" s="30" customFormat="1" ht="31.5" customHeight="1">
      <c r="A69" s="24" t="s">
        <v>84</v>
      </c>
      <c r="B69" s="34" t="s">
        <v>223</v>
      </c>
      <c r="C69" s="35">
        <f t="shared" si="2"/>
        <v>33.349999999999994</v>
      </c>
      <c r="D69" s="35">
        <v>17.65</v>
      </c>
      <c r="E69" s="35">
        <v>15.7</v>
      </c>
    </row>
    <row r="70" spans="1:5" s="30" customFormat="1" ht="27">
      <c r="A70" s="24" t="s">
        <v>85</v>
      </c>
      <c r="B70" s="3" t="s">
        <v>224</v>
      </c>
      <c r="C70" s="25">
        <f t="shared" si="2"/>
        <v>110.85</v>
      </c>
      <c r="D70" s="25">
        <v>52.5</v>
      </c>
      <c r="E70" s="25">
        <v>58.35</v>
      </c>
    </row>
    <row r="71" spans="1:5" s="2" customFormat="1" ht="27">
      <c r="A71" s="24" t="s">
        <v>86</v>
      </c>
      <c r="B71" s="3" t="s">
        <v>225</v>
      </c>
      <c r="C71" s="25">
        <f t="shared" si="2"/>
        <v>137.95999999999998</v>
      </c>
      <c r="D71" s="25">
        <f>71.13-2.5</f>
        <v>68.63</v>
      </c>
      <c r="E71" s="25">
        <v>69.33</v>
      </c>
    </row>
    <row r="72" spans="1:5" s="30" customFormat="1" ht="27">
      <c r="A72" s="24" t="s">
        <v>87</v>
      </c>
      <c r="B72" s="3" t="s">
        <v>226</v>
      </c>
      <c r="C72" s="25">
        <f t="shared" si="2"/>
        <v>46.7</v>
      </c>
      <c r="D72" s="25">
        <f>25.62-0.5</f>
        <v>25.12</v>
      </c>
      <c r="E72" s="25">
        <f>21.58</f>
        <v>21.58</v>
      </c>
    </row>
    <row r="73" spans="1:5" s="33" customFormat="1" ht="27">
      <c r="A73" s="24" t="s">
        <v>283</v>
      </c>
      <c r="B73" s="3" t="s">
        <v>14</v>
      </c>
      <c r="C73" s="25">
        <f t="shared" si="2"/>
        <v>352.24999999999994</v>
      </c>
      <c r="D73" s="25">
        <v>0</v>
      </c>
      <c r="E73" s="25">
        <v>352.24999999999994</v>
      </c>
    </row>
    <row r="74" spans="1:5" s="2" customFormat="1" ht="27">
      <c r="A74" s="24" t="s">
        <v>88</v>
      </c>
      <c r="B74" s="3" t="s">
        <v>234</v>
      </c>
      <c r="C74" s="25">
        <f t="shared" si="2"/>
        <v>60.43</v>
      </c>
      <c r="D74" s="25">
        <v>0</v>
      </c>
      <c r="E74" s="25">
        <f>60.43</f>
        <v>60.43</v>
      </c>
    </row>
    <row r="75" spans="1:5" s="2" customFormat="1" ht="27">
      <c r="A75" s="24" t="s">
        <v>89</v>
      </c>
      <c r="B75" s="3" t="s">
        <v>15</v>
      </c>
      <c r="C75" s="25">
        <f t="shared" si="2"/>
        <v>76.1</v>
      </c>
      <c r="D75" s="25">
        <v>0</v>
      </c>
      <c r="E75" s="25">
        <f>76.1</f>
        <v>76.1</v>
      </c>
    </row>
    <row r="76" spans="1:5" s="30" customFormat="1" ht="27">
      <c r="A76" s="24" t="s">
        <v>90</v>
      </c>
      <c r="B76" s="3" t="s">
        <v>20</v>
      </c>
      <c r="C76" s="25">
        <f t="shared" si="2"/>
        <v>42.5</v>
      </c>
      <c r="D76" s="25">
        <v>0</v>
      </c>
      <c r="E76" s="25">
        <v>42.5</v>
      </c>
    </row>
    <row r="77" spans="1:5" s="30" customFormat="1" ht="27">
      <c r="A77" s="24" t="s">
        <v>91</v>
      </c>
      <c r="B77" s="3" t="s">
        <v>21</v>
      </c>
      <c r="C77" s="25">
        <f t="shared" si="2"/>
        <v>173.62</v>
      </c>
      <c r="D77" s="25">
        <v>0</v>
      </c>
      <c r="E77" s="25">
        <f>84.4+89.22</f>
        <v>173.62</v>
      </c>
    </row>
    <row r="78" spans="1:5" s="2" customFormat="1" ht="27">
      <c r="A78" s="24" t="s">
        <v>92</v>
      </c>
      <c r="B78" s="3" t="s">
        <v>323</v>
      </c>
      <c r="C78" s="25">
        <f t="shared" si="2"/>
        <v>217.45</v>
      </c>
      <c r="D78" s="25">
        <v>0</v>
      </c>
      <c r="E78" s="25">
        <f>217.45</f>
        <v>217.45</v>
      </c>
    </row>
    <row r="79" spans="1:5" s="30" customFormat="1" ht="27">
      <c r="A79" s="24" t="s">
        <v>93</v>
      </c>
      <c r="B79" s="3" t="s">
        <v>227</v>
      </c>
      <c r="C79" s="25">
        <f t="shared" si="2"/>
        <v>86.06</v>
      </c>
      <c r="D79" s="25">
        <v>0</v>
      </c>
      <c r="E79" s="25">
        <f>86.06</f>
        <v>86.06</v>
      </c>
    </row>
    <row r="80" spans="1:5" s="2" customFormat="1" ht="27">
      <c r="A80" s="24" t="s">
        <v>94</v>
      </c>
      <c r="B80" s="3" t="s">
        <v>255</v>
      </c>
      <c r="C80" s="25">
        <f t="shared" si="2"/>
        <v>85.91</v>
      </c>
      <c r="D80" s="25">
        <v>0</v>
      </c>
      <c r="E80" s="25">
        <f>85.91</f>
        <v>85.91</v>
      </c>
    </row>
    <row r="81" spans="1:5" s="2" customFormat="1" ht="27">
      <c r="A81" s="24" t="s">
        <v>95</v>
      </c>
      <c r="B81" s="3" t="s">
        <v>228</v>
      </c>
      <c r="C81" s="25">
        <f t="shared" si="2"/>
        <v>91.32</v>
      </c>
      <c r="D81" s="25">
        <v>0</v>
      </c>
      <c r="E81" s="25">
        <f>91.32</f>
        <v>91.32</v>
      </c>
    </row>
    <row r="82" spans="1:5" s="2" customFormat="1" ht="27">
      <c r="A82" s="24" t="s">
        <v>96</v>
      </c>
      <c r="B82" s="3" t="s">
        <v>359</v>
      </c>
      <c r="C82" s="25">
        <f t="shared" si="2"/>
        <v>230.36</v>
      </c>
      <c r="D82" s="25">
        <v>0</v>
      </c>
      <c r="E82" s="25">
        <v>230.36</v>
      </c>
    </row>
    <row r="83" spans="1:5" s="29" customFormat="1" ht="27">
      <c r="A83" s="24" t="s">
        <v>97</v>
      </c>
      <c r="B83" s="3" t="s">
        <v>387</v>
      </c>
      <c r="C83" s="25">
        <f t="shared" si="2"/>
        <v>36.28</v>
      </c>
      <c r="D83" s="25">
        <v>0</v>
      </c>
      <c r="E83" s="25">
        <v>36.28</v>
      </c>
    </row>
    <row r="84" spans="1:5" s="2" customFormat="1" ht="27">
      <c r="A84" s="24" t="s">
        <v>98</v>
      </c>
      <c r="B84" s="3" t="s">
        <v>301</v>
      </c>
      <c r="C84" s="25">
        <f t="shared" si="2"/>
        <v>107.92</v>
      </c>
      <c r="D84" s="25">
        <v>0</v>
      </c>
      <c r="E84" s="25">
        <v>107.92</v>
      </c>
    </row>
    <row r="85" spans="1:5" s="2" customFormat="1" ht="27">
      <c r="A85" s="24" t="s">
        <v>99</v>
      </c>
      <c r="B85" s="3" t="s">
        <v>360</v>
      </c>
      <c r="C85" s="25">
        <f t="shared" si="2"/>
        <v>116.82</v>
      </c>
      <c r="D85" s="25">
        <v>0</v>
      </c>
      <c r="E85" s="25">
        <v>116.82</v>
      </c>
    </row>
    <row r="86" spans="1:5" s="2" customFormat="1" ht="27">
      <c r="A86" s="24" t="s">
        <v>100</v>
      </c>
      <c r="B86" s="3" t="s">
        <v>243</v>
      </c>
      <c r="C86" s="25">
        <f t="shared" si="2"/>
        <v>256.55</v>
      </c>
      <c r="D86" s="25">
        <v>0</v>
      </c>
      <c r="E86" s="25">
        <v>256.55</v>
      </c>
    </row>
    <row r="87" spans="1:5" s="2" customFormat="1" ht="27">
      <c r="A87" s="24" t="s">
        <v>101</v>
      </c>
      <c r="B87" s="3" t="s">
        <v>361</v>
      </c>
      <c r="C87" s="25">
        <f t="shared" si="2"/>
        <v>119.5</v>
      </c>
      <c r="D87" s="25">
        <v>0</v>
      </c>
      <c r="E87" s="25">
        <v>119.5</v>
      </c>
    </row>
    <row r="88" spans="1:5" s="29" customFormat="1" ht="27">
      <c r="A88" s="24" t="s">
        <v>102</v>
      </c>
      <c r="B88" s="3" t="s">
        <v>388</v>
      </c>
      <c r="C88" s="25">
        <f t="shared" si="2"/>
        <v>26.29</v>
      </c>
      <c r="D88" s="25">
        <v>0</v>
      </c>
      <c r="E88" s="25">
        <v>26.29</v>
      </c>
    </row>
    <row r="89" spans="1:5" s="2" customFormat="1" ht="27">
      <c r="A89" s="24" t="s">
        <v>103</v>
      </c>
      <c r="B89" s="3" t="s">
        <v>362</v>
      </c>
      <c r="C89" s="25">
        <f t="shared" si="2"/>
        <v>137.82</v>
      </c>
      <c r="D89" s="25">
        <f>19-1.5</f>
        <v>17.5</v>
      </c>
      <c r="E89" s="25">
        <v>120.32</v>
      </c>
    </row>
    <row r="90" spans="1:5" s="2" customFormat="1" ht="27">
      <c r="A90" s="24" t="s">
        <v>104</v>
      </c>
      <c r="B90" s="3" t="s">
        <v>244</v>
      </c>
      <c r="C90" s="25">
        <f t="shared" si="2"/>
        <v>142.12</v>
      </c>
      <c r="D90" s="25">
        <v>0</v>
      </c>
      <c r="E90" s="25">
        <v>142.12</v>
      </c>
    </row>
    <row r="91" spans="1:5" s="2" customFormat="1" ht="27">
      <c r="A91" s="24" t="s">
        <v>105</v>
      </c>
      <c r="B91" s="3" t="s">
        <v>230</v>
      </c>
      <c r="C91" s="25">
        <f t="shared" si="2"/>
        <v>192.04</v>
      </c>
      <c r="D91" s="25">
        <v>0</v>
      </c>
      <c r="E91" s="25">
        <v>192.04</v>
      </c>
    </row>
    <row r="92" spans="1:5" s="2" customFormat="1" ht="27">
      <c r="A92" s="24" t="s">
        <v>106</v>
      </c>
      <c r="B92" s="3" t="s">
        <v>363</v>
      </c>
      <c r="C92" s="25">
        <f t="shared" si="2"/>
        <v>144.92999999999998</v>
      </c>
      <c r="D92" s="25">
        <v>0</v>
      </c>
      <c r="E92" s="25">
        <v>144.92999999999998</v>
      </c>
    </row>
    <row r="93" spans="1:5" s="2" customFormat="1" ht="27">
      <c r="A93" s="24" t="s">
        <v>107</v>
      </c>
      <c r="B93" s="3" t="s">
        <v>256</v>
      </c>
      <c r="C93" s="25">
        <f t="shared" si="2"/>
        <v>84.61</v>
      </c>
      <c r="D93" s="25">
        <v>0</v>
      </c>
      <c r="E93" s="25">
        <v>84.61</v>
      </c>
    </row>
    <row r="94" spans="1:5" s="2" customFormat="1" ht="41.25">
      <c r="A94" s="24" t="s">
        <v>108</v>
      </c>
      <c r="B94" s="3" t="s">
        <v>231</v>
      </c>
      <c r="C94" s="25">
        <f t="shared" si="2"/>
        <v>302.28</v>
      </c>
      <c r="D94" s="25">
        <v>0</v>
      </c>
      <c r="E94" s="25">
        <f>302.28</f>
        <v>302.28</v>
      </c>
    </row>
    <row r="95" spans="1:5" s="2" customFormat="1" ht="27">
      <c r="A95" s="24" t="s">
        <v>109</v>
      </c>
      <c r="B95" s="3" t="s">
        <v>232</v>
      </c>
      <c r="C95" s="25">
        <f t="shared" si="2"/>
        <v>128.39</v>
      </c>
      <c r="D95" s="25">
        <v>0</v>
      </c>
      <c r="E95" s="25">
        <f>128.39</f>
        <v>128.39</v>
      </c>
    </row>
    <row r="96" spans="1:5" s="2" customFormat="1" ht="27">
      <c r="A96" s="24" t="s">
        <v>110</v>
      </c>
      <c r="B96" s="3" t="s">
        <v>235</v>
      </c>
      <c r="C96" s="25">
        <f t="shared" si="2"/>
        <v>135.63</v>
      </c>
      <c r="D96" s="25">
        <v>0</v>
      </c>
      <c r="E96" s="25">
        <f>135.63</f>
        <v>135.63</v>
      </c>
    </row>
    <row r="97" spans="1:5" s="2" customFormat="1" ht="27">
      <c r="A97" s="24" t="s">
        <v>111</v>
      </c>
      <c r="B97" s="3" t="s">
        <v>251</v>
      </c>
      <c r="C97" s="25">
        <f t="shared" si="2"/>
        <v>119.04</v>
      </c>
      <c r="D97" s="25">
        <v>0</v>
      </c>
      <c r="E97" s="25">
        <f>119.04</f>
        <v>119.04</v>
      </c>
    </row>
    <row r="98" spans="1:5" s="2" customFormat="1" ht="27">
      <c r="A98" s="24" t="s">
        <v>112</v>
      </c>
      <c r="B98" s="3" t="s">
        <v>246</v>
      </c>
      <c r="C98" s="25">
        <f aca="true" t="shared" si="3" ref="C98:C129">D98+E98</f>
        <v>132.99</v>
      </c>
      <c r="D98" s="25">
        <v>0</v>
      </c>
      <c r="E98" s="25">
        <v>132.99</v>
      </c>
    </row>
    <row r="99" spans="1:5" s="2" customFormat="1" ht="27">
      <c r="A99" s="24" t="s">
        <v>113</v>
      </c>
      <c r="B99" s="3" t="s">
        <v>364</v>
      </c>
      <c r="C99" s="25">
        <f t="shared" si="3"/>
        <v>126.45</v>
      </c>
      <c r="D99" s="25">
        <v>0</v>
      </c>
      <c r="E99" s="25">
        <v>126.45</v>
      </c>
    </row>
    <row r="100" spans="1:5" s="2" customFormat="1" ht="27">
      <c r="A100" s="24" t="s">
        <v>114</v>
      </c>
      <c r="B100" s="3" t="s">
        <v>365</v>
      </c>
      <c r="C100" s="25">
        <f t="shared" si="3"/>
        <v>146</v>
      </c>
      <c r="D100" s="25">
        <v>0</v>
      </c>
      <c r="E100" s="25">
        <f>146</f>
        <v>146</v>
      </c>
    </row>
    <row r="101" spans="1:5" s="2" customFormat="1" ht="27">
      <c r="A101" s="24" t="s">
        <v>115</v>
      </c>
      <c r="B101" s="3" t="s">
        <v>366</v>
      </c>
      <c r="C101" s="25">
        <f t="shared" si="3"/>
        <v>163.72</v>
      </c>
      <c r="D101" s="25">
        <v>0</v>
      </c>
      <c r="E101" s="25">
        <v>163.72</v>
      </c>
    </row>
    <row r="102" spans="1:5" s="2" customFormat="1" ht="27">
      <c r="A102" s="24" t="s">
        <v>116</v>
      </c>
      <c r="B102" s="3" t="s">
        <v>367</v>
      </c>
      <c r="C102" s="25">
        <f t="shared" si="3"/>
        <v>99.93</v>
      </c>
      <c r="D102" s="25">
        <v>0</v>
      </c>
      <c r="E102" s="25">
        <f>99.93</f>
        <v>99.93</v>
      </c>
    </row>
    <row r="103" spans="1:5" s="2" customFormat="1" ht="27">
      <c r="A103" s="24" t="s">
        <v>117</v>
      </c>
      <c r="B103" s="3" t="s">
        <v>237</v>
      </c>
      <c r="C103" s="25">
        <f t="shared" si="3"/>
        <v>146.52</v>
      </c>
      <c r="D103" s="25">
        <v>0</v>
      </c>
      <c r="E103" s="25">
        <v>146.52</v>
      </c>
    </row>
    <row r="104" spans="1:5" s="2" customFormat="1" ht="27">
      <c r="A104" s="24" t="s">
        <v>118</v>
      </c>
      <c r="B104" s="3" t="s">
        <v>368</v>
      </c>
      <c r="C104" s="25">
        <f t="shared" si="3"/>
        <v>139.55</v>
      </c>
      <c r="D104" s="25">
        <v>0</v>
      </c>
      <c r="E104" s="25">
        <f>139.55</f>
        <v>139.55</v>
      </c>
    </row>
    <row r="105" spans="1:5" s="2" customFormat="1" ht="27">
      <c r="A105" s="24" t="s">
        <v>119</v>
      </c>
      <c r="B105" s="5" t="s">
        <v>369</v>
      </c>
      <c r="C105" s="25">
        <f t="shared" si="3"/>
        <v>161.95000000000002</v>
      </c>
      <c r="D105" s="25">
        <f>15.18-1</f>
        <v>14.18</v>
      </c>
      <c r="E105" s="25">
        <f>147.77</f>
        <v>147.77</v>
      </c>
    </row>
    <row r="106" spans="1:5" s="2" customFormat="1" ht="27">
      <c r="A106" s="24" t="s">
        <v>120</v>
      </c>
      <c r="B106" s="3" t="s">
        <v>370</v>
      </c>
      <c r="C106" s="25">
        <f t="shared" si="3"/>
        <v>77.77</v>
      </c>
      <c r="D106" s="25">
        <v>0</v>
      </c>
      <c r="E106" s="25">
        <v>77.77</v>
      </c>
    </row>
    <row r="107" spans="1:5" s="2" customFormat="1" ht="27">
      <c r="A107" s="24" t="s">
        <v>121</v>
      </c>
      <c r="B107" s="3" t="s">
        <v>288</v>
      </c>
      <c r="C107" s="25">
        <f t="shared" si="3"/>
        <v>125.34</v>
      </c>
      <c r="D107" s="25">
        <v>0</v>
      </c>
      <c r="E107" s="25">
        <v>125.34</v>
      </c>
    </row>
    <row r="108" spans="1:5" s="30" customFormat="1" ht="27">
      <c r="A108" s="24" t="s">
        <v>122</v>
      </c>
      <c r="B108" s="3" t="s">
        <v>3</v>
      </c>
      <c r="C108" s="25">
        <f t="shared" si="3"/>
        <v>75.07</v>
      </c>
      <c r="D108" s="25">
        <v>0</v>
      </c>
      <c r="E108" s="25">
        <f>75.07</f>
        <v>75.07</v>
      </c>
    </row>
    <row r="109" spans="1:5" s="2" customFormat="1" ht="41.25">
      <c r="A109" s="24" t="s">
        <v>123</v>
      </c>
      <c r="B109" s="3" t="s">
        <v>371</v>
      </c>
      <c r="C109" s="25">
        <f t="shared" si="3"/>
        <v>124.04</v>
      </c>
      <c r="D109" s="25">
        <v>0</v>
      </c>
      <c r="E109" s="25">
        <f>124.04</f>
        <v>124.04</v>
      </c>
    </row>
    <row r="110" spans="1:5" s="2" customFormat="1" ht="27">
      <c r="A110" s="24" t="s">
        <v>124</v>
      </c>
      <c r="B110" s="3" t="s">
        <v>260</v>
      </c>
      <c r="C110" s="25">
        <f t="shared" si="3"/>
        <v>118.36</v>
      </c>
      <c r="D110" s="25">
        <v>0</v>
      </c>
      <c r="E110" s="25">
        <f>118.36</f>
        <v>118.36</v>
      </c>
    </row>
    <row r="111" spans="1:5" s="2" customFormat="1" ht="27">
      <c r="A111" s="24" t="s">
        <v>267</v>
      </c>
      <c r="B111" s="3" t="s">
        <v>261</v>
      </c>
      <c r="C111" s="25">
        <f t="shared" si="3"/>
        <v>155.4</v>
      </c>
      <c r="D111" s="25">
        <f>24.5</f>
        <v>24.5</v>
      </c>
      <c r="E111" s="25">
        <f>130.9</f>
        <v>130.9</v>
      </c>
    </row>
    <row r="112" spans="1:5" s="2" customFormat="1" ht="27">
      <c r="A112" s="24" t="s">
        <v>125</v>
      </c>
      <c r="B112" s="3" t="s">
        <v>4</v>
      </c>
      <c r="C112" s="25">
        <f t="shared" si="3"/>
        <v>136.67</v>
      </c>
      <c r="D112" s="25">
        <v>0</v>
      </c>
      <c r="E112" s="25">
        <f>136.67</f>
        <v>136.67</v>
      </c>
    </row>
    <row r="113" spans="1:5" s="2" customFormat="1" ht="27">
      <c r="A113" s="24" t="s">
        <v>126</v>
      </c>
      <c r="B113" s="3" t="s">
        <v>252</v>
      </c>
      <c r="C113" s="25">
        <f t="shared" si="3"/>
        <v>86.65</v>
      </c>
      <c r="D113" s="25">
        <v>0</v>
      </c>
      <c r="E113" s="25">
        <f>86.65</f>
        <v>86.65</v>
      </c>
    </row>
    <row r="114" spans="1:5" s="2" customFormat="1" ht="27">
      <c r="A114" s="24" t="s">
        <v>127</v>
      </c>
      <c r="B114" s="3" t="s">
        <v>5</v>
      </c>
      <c r="C114" s="25">
        <f t="shared" si="3"/>
        <v>275.49</v>
      </c>
      <c r="D114" s="25">
        <f>23-1</f>
        <v>22</v>
      </c>
      <c r="E114" s="25">
        <v>253.48999999999998</v>
      </c>
    </row>
    <row r="115" spans="1:5" s="2" customFormat="1" ht="27">
      <c r="A115" s="24" t="s">
        <v>128</v>
      </c>
      <c r="B115" s="3" t="s">
        <v>262</v>
      </c>
      <c r="C115" s="25">
        <f t="shared" si="3"/>
        <v>82.65</v>
      </c>
      <c r="D115" s="25">
        <v>0</v>
      </c>
      <c r="E115" s="25">
        <v>82.65</v>
      </c>
    </row>
    <row r="116" spans="1:5" s="2" customFormat="1" ht="27">
      <c r="A116" s="24" t="s">
        <v>129</v>
      </c>
      <c r="B116" s="3" t="s">
        <v>253</v>
      </c>
      <c r="C116" s="25">
        <f t="shared" si="3"/>
        <v>106.75</v>
      </c>
      <c r="D116" s="25">
        <v>0</v>
      </c>
      <c r="E116" s="25">
        <f>106.75</f>
        <v>106.75</v>
      </c>
    </row>
    <row r="117" spans="1:5" s="2" customFormat="1" ht="27">
      <c r="A117" s="24" t="s">
        <v>130</v>
      </c>
      <c r="B117" s="3" t="s">
        <v>6</v>
      </c>
      <c r="C117" s="25">
        <f t="shared" si="3"/>
        <v>172.63</v>
      </c>
      <c r="D117" s="25">
        <v>0</v>
      </c>
      <c r="E117" s="25">
        <f>172.63</f>
        <v>172.63</v>
      </c>
    </row>
    <row r="118" spans="1:5" s="2" customFormat="1" ht="27">
      <c r="A118" s="24" t="s">
        <v>131</v>
      </c>
      <c r="B118" s="3" t="s">
        <v>240</v>
      </c>
      <c r="C118" s="25">
        <f t="shared" si="3"/>
        <v>169.39</v>
      </c>
      <c r="D118" s="25">
        <v>0</v>
      </c>
      <c r="E118" s="25">
        <f>169.39</f>
        <v>169.39</v>
      </c>
    </row>
    <row r="119" spans="1:5" s="2" customFormat="1" ht="27">
      <c r="A119" s="24" t="s">
        <v>132</v>
      </c>
      <c r="B119" s="3" t="s">
        <v>263</v>
      </c>
      <c r="C119" s="25">
        <f t="shared" si="3"/>
        <v>68.71</v>
      </c>
      <c r="D119" s="25">
        <v>0</v>
      </c>
      <c r="E119" s="25">
        <v>68.71</v>
      </c>
    </row>
    <row r="120" spans="1:5" s="2" customFormat="1" ht="27">
      <c r="A120" s="24" t="s">
        <v>133</v>
      </c>
      <c r="B120" s="3" t="s">
        <v>372</v>
      </c>
      <c r="C120" s="25">
        <f t="shared" si="3"/>
        <v>120.59</v>
      </c>
      <c r="D120" s="25">
        <v>0</v>
      </c>
      <c r="E120" s="25">
        <v>120.59</v>
      </c>
    </row>
    <row r="121" spans="1:5" s="30" customFormat="1" ht="27">
      <c r="A121" s="24" t="s">
        <v>134</v>
      </c>
      <c r="B121" s="3" t="s">
        <v>373</v>
      </c>
      <c r="C121" s="25">
        <f t="shared" si="3"/>
        <v>99.54</v>
      </c>
      <c r="D121" s="25">
        <v>0</v>
      </c>
      <c r="E121" s="25">
        <f>99.54</f>
        <v>99.54</v>
      </c>
    </row>
    <row r="122" spans="1:5" s="2" customFormat="1" ht="27">
      <c r="A122" s="24" t="s">
        <v>135</v>
      </c>
      <c r="B122" s="3" t="s">
        <v>8</v>
      </c>
      <c r="C122" s="25">
        <f t="shared" si="3"/>
        <v>105.74</v>
      </c>
      <c r="D122" s="25">
        <v>0</v>
      </c>
      <c r="E122" s="25">
        <f>105.74</f>
        <v>105.74</v>
      </c>
    </row>
    <row r="123" spans="1:5" s="2" customFormat="1" ht="27">
      <c r="A123" s="24" t="s">
        <v>136</v>
      </c>
      <c r="B123" s="3" t="s">
        <v>374</v>
      </c>
      <c r="C123" s="25">
        <f t="shared" si="3"/>
        <v>135.1</v>
      </c>
      <c r="D123" s="25">
        <v>0</v>
      </c>
      <c r="E123" s="25">
        <v>135.1</v>
      </c>
    </row>
    <row r="124" spans="1:5" s="2" customFormat="1" ht="27">
      <c r="A124" s="24" t="s">
        <v>137</v>
      </c>
      <c r="B124" s="3" t="s">
        <v>254</v>
      </c>
      <c r="C124" s="25">
        <f t="shared" si="3"/>
        <v>117.26</v>
      </c>
      <c r="D124" s="25">
        <v>0</v>
      </c>
      <c r="E124" s="25">
        <f>117.26</f>
        <v>117.26</v>
      </c>
    </row>
    <row r="125" spans="1:5" s="2" customFormat="1" ht="27">
      <c r="A125" s="24" t="s">
        <v>138</v>
      </c>
      <c r="B125" s="3" t="s">
        <v>265</v>
      </c>
      <c r="C125" s="25">
        <f t="shared" si="3"/>
        <v>131.07</v>
      </c>
      <c r="D125" s="25">
        <v>0</v>
      </c>
      <c r="E125" s="25">
        <f>131.07</f>
        <v>131.07</v>
      </c>
    </row>
    <row r="126" spans="1:5" s="2" customFormat="1" ht="27">
      <c r="A126" s="24" t="s">
        <v>139</v>
      </c>
      <c r="B126" s="3" t="s">
        <v>375</v>
      </c>
      <c r="C126" s="25">
        <f t="shared" si="3"/>
        <v>147.36</v>
      </c>
      <c r="D126" s="25">
        <v>0</v>
      </c>
      <c r="E126" s="25">
        <v>147.36</v>
      </c>
    </row>
    <row r="127" spans="1:5" s="2" customFormat="1" ht="27">
      <c r="A127" s="24" t="s">
        <v>140</v>
      </c>
      <c r="B127" s="3" t="s">
        <v>10</v>
      </c>
      <c r="C127" s="25">
        <f t="shared" si="3"/>
        <v>223.63000000000002</v>
      </c>
      <c r="D127" s="25">
        <v>0</v>
      </c>
      <c r="E127" s="25">
        <v>223.63000000000002</v>
      </c>
    </row>
    <row r="128" spans="1:5" s="2" customFormat="1" ht="41.25">
      <c r="A128" s="24" t="s">
        <v>141</v>
      </c>
      <c r="B128" s="3" t="s">
        <v>236</v>
      </c>
      <c r="C128" s="25">
        <f t="shared" si="3"/>
        <v>242.85</v>
      </c>
      <c r="D128" s="25">
        <v>0</v>
      </c>
      <c r="E128" s="25">
        <v>242.85</v>
      </c>
    </row>
    <row r="129" spans="1:5" s="2" customFormat="1" ht="27">
      <c r="A129" s="24" t="s">
        <v>142</v>
      </c>
      <c r="B129" s="3" t="s">
        <v>242</v>
      </c>
      <c r="C129" s="25">
        <f t="shared" si="3"/>
        <v>87.65</v>
      </c>
      <c r="D129" s="25">
        <v>0</v>
      </c>
      <c r="E129" s="25">
        <f>87.65</f>
        <v>87.65</v>
      </c>
    </row>
    <row r="130" spans="1:5" s="2" customFormat="1" ht="27">
      <c r="A130" s="24" t="s">
        <v>143</v>
      </c>
      <c r="B130" s="3" t="s">
        <v>266</v>
      </c>
      <c r="C130" s="25">
        <f aca="true" t="shared" si="4" ref="C130:C168">D130+E130</f>
        <v>64.38</v>
      </c>
      <c r="D130" s="25">
        <v>0</v>
      </c>
      <c r="E130" s="25">
        <v>64.38</v>
      </c>
    </row>
    <row r="131" spans="1:5" s="30" customFormat="1" ht="27">
      <c r="A131" s="24" t="s">
        <v>144</v>
      </c>
      <c r="B131" s="3" t="s">
        <v>276</v>
      </c>
      <c r="C131" s="25">
        <f>D131+E131</f>
        <v>80.73</v>
      </c>
      <c r="D131" s="25">
        <v>0</v>
      </c>
      <c r="E131" s="25">
        <v>80.73</v>
      </c>
    </row>
    <row r="132" spans="1:5" s="2" customFormat="1" ht="27">
      <c r="A132" s="24" t="s">
        <v>145</v>
      </c>
      <c r="B132" s="3" t="s">
        <v>238</v>
      </c>
      <c r="C132" s="25">
        <f t="shared" si="4"/>
        <v>158.76</v>
      </c>
      <c r="D132" s="25">
        <v>0</v>
      </c>
      <c r="E132" s="25">
        <f>158.76</f>
        <v>158.76</v>
      </c>
    </row>
    <row r="133" spans="1:5" s="2" customFormat="1" ht="27">
      <c r="A133" s="24" t="s">
        <v>146</v>
      </c>
      <c r="B133" s="3" t="s">
        <v>386</v>
      </c>
      <c r="C133" s="25">
        <f t="shared" si="4"/>
        <v>154.48</v>
      </c>
      <c r="D133" s="25">
        <v>0</v>
      </c>
      <c r="E133" s="25">
        <f>154.48</f>
        <v>154.48</v>
      </c>
    </row>
    <row r="134" spans="1:5" s="30" customFormat="1" ht="41.25">
      <c r="A134" s="24" t="s">
        <v>147</v>
      </c>
      <c r="B134" s="5" t="s">
        <v>297</v>
      </c>
      <c r="C134" s="25">
        <f t="shared" si="4"/>
        <v>115.44</v>
      </c>
      <c r="D134" s="25">
        <v>0</v>
      </c>
      <c r="E134" s="25">
        <f>115.44</f>
        <v>115.44</v>
      </c>
    </row>
    <row r="135" spans="1:5" s="30" customFormat="1" ht="41.25">
      <c r="A135" s="24" t="s">
        <v>148</v>
      </c>
      <c r="B135" s="5" t="s">
        <v>299</v>
      </c>
      <c r="C135" s="25">
        <f t="shared" si="4"/>
        <v>112.22</v>
      </c>
      <c r="D135" s="25">
        <v>0</v>
      </c>
      <c r="E135" s="25">
        <f>112.22</f>
        <v>112.22</v>
      </c>
    </row>
    <row r="136" spans="1:5" s="2" customFormat="1" ht="27">
      <c r="A136" s="24" t="s">
        <v>149</v>
      </c>
      <c r="B136" s="3" t="s">
        <v>303</v>
      </c>
      <c r="C136" s="25">
        <f t="shared" si="4"/>
        <v>76.32</v>
      </c>
      <c r="D136" s="25">
        <v>0</v>
      </c>
      <c r="E136" s="25">
        <f>76.32</f>
        <v>76.32</v>
      </c>
    </row>
    <row r="137" spans="1:5" s="30" customFormat="1" ht="41.25">
      <c r="A137" s="24" t="s">
        <v>150</v>
      </c>
      <c r="B137" s="3" t="s">
        <v>287</v>
      </c>
      <c r="C137" s="25">
        <f t="shared" si="4"/>
        <v>128.58</v>
      </c>
      <c r="D137" s="25">
        <v>0</v>
      </c>
      <c r="E137" s="25">
        <v>128.58</v>
      </c>
    </row>
    <row r="138" spans="1:5" s="30" customFormat="1" ht="41.25">
      <c r="A138" s="24" t="s">
        <v>151</v>
      </c>
      <c r="B138" s="3" t="s">
        <v>307</v>
      </c>
      <c r="C138" s="25">
        <f t="shared" si="4"/>
        <v>88.75</v>
      </c>
      <c r="D138" s="25">
        <v>0</v>
      </c>
      <c r="E138" s="25">
        <f>88.75</f>
        <v>88.75</v>
      </c>
    </row>
    <row r="139" spans="1:5" s="30" customFormat="1" ht="27">
      <c r="A139" s="24" t="s">
        <v>152</v>
      </c>
      <c r="B139" s="3" t="s">
        <v>304</v>
      </c>
      <c r="C139" s="25">
        <f t="shared" si="4"/>
        <v>87.62</v>
      </c>
      <c r="D139" s="25">
        <f>19.25-1.75</f>
        <v>17.5</v>
      </c>
      <c r="E139" s="25">
        <f>70.12</f>
        <v>70.12</v>
      </c>
    </row>
    <row r="140" spans="1:5" s="2" customFormat="1" ht="41.25">
      <c r="A140" s="24" t="s">
        <v>153</v>
      </c>
      <c r="B140" s="3" t="s">
        <v>335</v>
      </c>
      <c r="C140" s="25">
        <f t="shared" si="4"/>
        <v>257.72</v>
      </c>
      <c r="D140" s="25">
        <f>257.72</f>
        <v>257.72</v>
      </c>
      <c r="E140" s="25">
        <v>0</v>
      </c>
    </row>
    <row r="141" spans="1:5" s="2" customFormat="1" ht="41.25">
      <c r="A141" s="24" t="s">
        <v>154</v>
      </c>
      <c r="B141" s="3" t="s">
        <v>333</v>
      </c>
      <c r="C141" s="25">
        <f t="shared" si="4"/>
        <v>267.72</v>
      </c>
      <c r="D141" s="25">
        <f>267.5+0.22</f>
        <v>267.72</v>
      </c>
      <c r="E141" s="25">
        <v>0</v>
      </c>
    </row>
    <row r="142" spans="1:5" s="2" customFormat="1" ht="41.25">
      <c r="A142" s="24" t="s">
        <v>155</v>
      </c>
      <c r="B142" s="3" t="s">
        <v>334</v>
      </c>
      <c r="C142" s="25">
        <f t="shared" si="4"/>
        <v>348.62</v>
      </c>
      <c r="D142" s="25">
        <f>348.4+0.22</f>
        <v>348.62</v>
      </c>
      <c r="E142" s="25">
        <v>0</v>
      </c>
    </row>
    <row r="143" spans="1:5" s="2" customFormat="1" ht="54.75">
      <c r="A143" s="24" t="s">
        <v>156</v>
      </c>
      <c r="B143" s="3" t="s">
        <v>376</v>
      </c>
      <c r="C143" s="25">
        <f t="shared" si="4"/>
        <v>217.67</v>
      </c>
      <c r="D143" s="25">
        <f>229.38-7.6-4.11</f>
        <v>217.67</v>
      </c>
      <c r="E143" s="25">
        <v>0</v>
      </c>
    </row>
    <row r="144" spans="1:5" s="2" customFormat="1" ht="54.75">
      <c r="A144" s="24" t="s">
        <v>157</v>
      </c>
      <c r="B144" s="3" t="s">
        <v>336</v>
      </c>
      <c r="C144" s="25">
        <f t="shared" si="4"/>
        <v>229.56</v>
      </c>
      <c r="D144" s="25">
        <f>241.27-7.6-4.11</f>
        <v>229.56</v>
      </c>
      <c r="E144" s="25">
        <v>0</v>
      </c>
    </row>
    <row r="145" spans="1:5" s="2" customFormat="1" ht="54.75">
      <c r="A145" s="24" t="s">
        <v>158</v>
      </c>
      <c r="B145" s="3" t="s">
        <v>337</v>
      </c>
      <c r="C145" s="25">
        <f t="shared" si="4"/>
        <v>324.10999999999996</v>
      </c>
      <c r="D145" s="25">
        <f>335.82-7.6-4.11</f>
        <v>324.10999999999996</v>
      </c>
      <c r="E145" s="25">
        <v>0</v>
      </c>
    </row>
    <row r="146" spans="1:5" s="2" customFormat="1" ht="41.25">
      <c r="A146" s="24" t="s">
        <v>159</v>
      </c>
      <c r="B146" s="3" t="s">
        <v>377</v>
      </c>
      <c r="C146" s="25">
        <f t="shared" si="4"/>
        <v>137.78</v>
      </c>
      <c r="D146" s="25">
        <f>107.38+30.4</f>
        <v>137.78</v>
      </c>
      <c r="E146" s="25">
        <v>0</v>
      </c>
    </row>
    <row r="147" spans="1:5" s="2" customFormat="1" ht="41.25">
      <c r="A147" s="24" t="s">
        <v>160</v>
      </c>
      <c r="B147" s="3" t="s">
        <v>310</v>
      </c>
      <c r="C147" s="25">
        <f t="shared" si="4"/>
        <v>64.63</v>
      </c>
      <c r="D147" s="25">
        <f>64.63</f>
        <v>64.63</v>
      </c>
      <c r="E147" s="25">
        <v>0</v>
      </c>
    </row>
    <row r="148" spans="1:5" s="2" customFormat="1" ht="41.25">
      <c r="A148" s="24" t="s">
        <v>268</v>
      </c>
      <c r="B148" s="3" t="s">
        <v>311</v>
      </c>
      <c r="C148" s="25">
        <f t="shared" si="4"/>
        <v>86.65</v>
      </c>
      <c r="D148" s="25">
        <f>86.65</f>
        <v>86.65</v>
      </c>
      <c r="E148" s="25">
        <v>0</v>
      </c>
    </row>
    <row r="149" spans="1:5" s="2" customFormat="1" ht="27">
      <c r="A149" s="24" t="s">
        <v>161</v>
      </c>
      <c r="B149" s="3" t="s">
        <v>327</v>
      </c>
      <c r="C149" s="25">
        <f t="shared" si="4"/>
        <v>51.55</v>
      </c>
      <c r="D149" s="25">
        <f>51.55</f>
        <v>51.55</v>
      </c>
      <c r="E149" s="25">
        <v>0</v>
      </c>
    </row>
    <row r="150" spans="1:5" s="30" customFormat="1" ht="41.25">
      <c r="A150" s="24" t="s">
        <v>162</v>
      </c>
      <c r="B150" s="3" t="s">
        <v>378</v>
      </c>
      <c r="C150" s="25">
        <f t="shared" si="4"/>
        <v>63.83</v>
      </c>
      <c r="D150" s="25">
        <v>63.83</v>
      </c>
      <c r="E150" s="25">
        <v>0</v>
      </c>
    </row>
    <row r="151" spans="1:5" s="30" customFormat="1" ht="41.25">
      <c r="A151" s="24" t="s">
        <v>163</v>
      </c>
      <c r="B151" s="3" t="s">
        <v>325</v>
      </c>
      <c r="C151" s="25">
        <f t="shared" si="4"/>
        <v>114.07</v>
      </c>
      <c r="D151" s="25">
        <f>114.07</f>
        <v>114.07</v>
      </c>
      <c r="E151" s="25">
        <v>0</v>
      </c>
    </row>
    <row r="152" spans="1:5" s="30" customFormat="1" ht="41.25">
      <c r="A152" s="24" t="s">
        <v>164</v>
      </c>
      <c r="B152" s="3" t="s">
        <v>379</v>
      </c>
      <c r="C152" s="25">
        <f t="shared" si="4"/>
        <v>112.75</v>
      </c>
      <c r="D152" s="25">
        <f>112.75</f>
        <v>112.75</v>
      </c>
      <c r="E152" s="25">
        <v>0</v>
      </c>
    </row>
    <row r="153" spans="1:5" s="30" customFormat="1" ht="41.25">
      <c r="A153" s="24" t="s">
        <v>165</v>
      </c>
      <c r="B153" s="3" t="s">
        <v>322</v>
      </c>
      <c r="C153" s="25">
        <f t="shared" si="4"/>
        <v>68.13</v>
      </c>
      <c r="D153" s="25">
        <v>68.13</v>
      </c>
      <c r="E153" s="25">
        <v>0</v>
      </c>
    </row>
    <row r="154" spans="1:5" s="2" customFormat="1" ht="41.25">
      <c r="A154" s="24" t="s">
        <v>166</v>
      </c>
      <c r="B154" s="3" t="s">
        <v>342</v>
      </c>
      <c r="C154" s="25">
        <f t="shared" si="4"/>
        <v>63.4</v>
      </c>
      <c r="D154" s="25">
        <v>63.4</v>
      </c>
      <c r="E154" s="25">
        <v>0</v>
      </c>
    </row>
    <row r="155" spans="1:5" s="2" customFormat="1" ht="41.25">
      <c r="A155" s="24" t="s">
        <v>167</v>
      </c>
      <c r="B155" s="3" t="s">
        <v>341</v>
      </c>
      <c r="C155" s="25">
        <f t="shared" si="4"/>
        <v>67.4</v>
      </c>
      <c r="D155" s="25">
        <v>67.4</v>
      </c>
      <c r="E155" s="25">
        <v>0</v>
      </c>
    </row>
    <row r="156" spans="1:5" s="2" customFormat="1" ht="41.25">
      <c r="A156" s="24" t="s">
        <v>168</v>
      </c>
      <c r="B156" s="3" t="s">
        <v>343</v>
      </c>
      <c r="C156" s="25">
        <f t="shared" si="4"/>
        <v>103</v>
      </c>
      <c r="D156" s="25">
        <f>103</f>
        <v>103</v>
      </c>
      <c r="E156" s="25">
        <v>0</v>
      </c>
    </row>
    <row r="157" spans="1:5" s="2" customFormat="1" ht="41.25">
      <c r="A157" s="24" t="s">
        <v>169</v>
      </c>
      <c r="B157" s="3" t="s">
        <v>380</v>
      </c>
      <c r="C157" s="25">
        <f>D157+E157</f>
        <v>241.81</v>
      </c>
      <c r="D157" s="25">
        <f>241.81</f>
        <v>241.81</v>
      </c>
      <c r="E157" s="25">
        <v>0</v>
      </c>
    </row>
    <row r="158" spans="1:5" s="30" customFormat="1" ht="41.25">
      <c r="A158" s="24" t="s">
        <v>170</v>
      </c>
      <c r="B158" s="3" t="s">
        <v>381</v>
      </c>
      <c r="C158" s="25">
        <f t="shared" si="4"/>
        <v>62.59</v>
      </c>
      <c r="D158" s="25">
        <f>62.59</f>
        <v>62.59</v>
      </c>
      <c r="E158" s="25">
        <v>0</v>
      </c>
    </row>
    <row r="159" spans="1:5" s="2" customFormat="1" ht="54.75">
      <c r="A159" s="24" t="s">
        <v>171</v>
      </c>
      <c r="B159" s="3" t="s">
        <v>338</v>
      </c>
      <c r="C159" s="25">
        <f t="shared" si="4"/>
        <v>85.3</v>
      </c>
      <c r="D159" s="25">
        <v>85.3</v>
      </c>
      <c r="E159" s="25">
        <v>0</v>
      </c>
    </row>
    <row r="160" spans="1:5" s="2" customFormat="1" ht="54.75">
      <c r="A160" s="24" t="s">
        <v>172</v>
      </c>
      <c r="B160" s="3" t="s">
        <v>339</v>
      </c>
      <c r="C160" s="25">
        <f t="shared" si="4"/>
        <v>94.3</v>
      </c>
      <c r="D160" s="25">
        <f>94.3</f>
        <v>94.3</v>
      </c>
      <c r="E160" s="25">
        <v>0</v>
      </c>
    </row>
    <row r="161" spans="1:5" s="2" customFormat="1" ht="54.75">
      <c r="A161" s="24" t="s">
        <v>173</v>
      </c>
      <c r="B161" s="3" t="s">
        <v>340</v>
      </c>
      <c r="C161" s="25">
        <f t="shared" si="4"/>
        <v>181.3</v>
      </c>
      <c r="D161" s="25">
        <f>181.3</f>
        <v>181.3</v>
      </c>
      <c r="E161" s="25">
        <v>0</v>
      </c>
    </row>
    <row r="162" spans="1:5" s="2" customFormat="1" ht="27">
      <c r="A162" s="24" t="s">
        <v>174</v>
      </c>
      <c r="B162" s="3" t="s">
        <v>314</v>
      </c>
      <c r="C162" s="25">
        <f>D162+E162</f>
        <v>109</v>
      </c>
      <c r="D162" s="25">
        <v>109</v>
      </c>
      <c r="E162" s="25">
        <v>0</v>
      </c>
    </row>
    <row r="163" spans="1:5" s="2" customFormat="1" ht="41.25">
      <c r="A163" s="24" t="s">
        <v>175</v>
      </c>
      <c r="B163" s="3" t="s">
        <v>312</v>
      </c>
      <c r="C163" s="26">
        <f>D163+E163</f>
        <v>187</v>
      </c>
      <c r="D163" s="25">
        <f>187</f>
        <v>187</v>
      </c>
      <c r="E163" s="26">
        <v>0</v>
      </c>
    </row>
    <row r="164" spans="1:5" s="2" customFormat="1" ht="27">
      <c r="A164" s="24" t="s">
        <v>176</v>
      </c>
      <c r="B164" s="3" t="s">
        <v>13</v>
      </c>
      <c r="C164" s="25">
        <f t="shared" si="4"/>
        <v>61.25</v>
      </c>
      <c r="D164" s="25">
        <v>61.25</v>
      </c>
      <c r="E164" s="25">
        <v>0</v>
      </c>
    </row>
    <row r="165" spans="1:5" s="30" customFormat="1" ht="27">
      <c r="A165" s="24" t="s">
        <v>389</v>
      </c>
      <c r="B165" s="3" t="s">
        <v>11</v>
      </c>
      <c r="C165" s="25">
        <f t="shared" si="4"/>
        <v>22.6</v>
      </c>
      <c r="D165" s="25">
        <v>22.6</v>
      </c>
      <c r="E165" s="25">
        <v>0</v>
      </c>
    </row>
    <row r="166" spans="1:5" s="30" customFormat="1" ht="27">
      <c r="A166" s="24" t="s">
        <v>390</v>
      </c>
      <c r="B166" s="3" t="s">
        <v>382</v>
      </c>
      <c r="C166" s="32">
        <f>D166+E166</f>
        <v>64.21000000000001</v>
      </c>
      <c r="D166" s="25">
        <f>65.06+1.15-1-1</f>
        <v>64.21000000000001</v>
      </c>
      <c r="E166" s="25">
        <v>0</v>
      </c>
    </row>
    <row r="167" spans="1:6" s="30" customFormat="1" ht="41.25">
      <c r="A167" s="24" t="s">
        <v>391</v>
      </c>
      <c r="B167" s="3" t="s">
        <v>383</v>
      </c>
      <c r="C167" s="25">
        <f t="shared" si="4"/>
        <v>88.4</v>
      </c>
      <c r="D167" s="25">
        <f>90.9-2.5</f>
        <v>88.4</v>
      </c>
      <c r="E167" s="25">
        <v>0</v>
      </c>
      <c r="F167" s="31"/>
    </row>
    <row r="168" spans="1:5" s="30" customFormat="1" ht="41.25">
      <c r="A168" s="24" t="s">
        <v>392</v>
      </c>
      <c r="B168" s="3" t="s">
        <v>384</v>
      </c>
      <c r="C168" s="25">
        <f t="shared" si="4"/>
        <v>169.96</v>
      </c>
      <c r="D168" s="25">
        <v>169.96</v>
      </c>
      <c r="E168" s="25">
        <v>0</v>
      </c>
    </row>
    <row r="169" spans="1:6" s="2" customFormat="1" ht="13.5">
      <c r="A169" s="4"/>
      <c r="B169" s="6" t="s">
        <v>18</v>
      </c>
      <c r="C169" s="11">
        <f>SUM(C5:C168)-C141-C142-C144-C145-C160-C161-C155-C156-C12-C69</f>
        <v>18844.140000000007</v>
      </c>
      <c r="D169" s="11">
        <f>SUM(D5:D168)-D141-D142-D144-D145-D160-D161-D155-D156-D69-D12</f>
        <v>6226.38</v>
      </c>
      <c r="E169" s="11">
        <f>SUM(E5:E168)-E141-E142-E144-E145-E160-E161-E155-E156-E69-E12</f>
        <v>12617.759999999997</v>
      </c>
      <c r="F169" s="23"/>
    </row>
    <row r="170" spans="1:2" s="2" customFormat="1" ht="24" customHeight="1" hidden="1">
      <c r="A170" s="7"/>
      <c r="B170" s="8"/>
    </row>
    <row r="171" s="2" customFormat="1" ht="21" customHeight="1" hidden="1">
      <c r="A171" s="7"/>
    </row>
    <row r="172" s="2" customFormat="1" ht="23.25" customHeight="1" hidden="1">
      <c r="A172" s="7"/>
    </row>
    <row r="173" ht="18" customHeight="1" hidden="1"/>
    <row r="174" ht="12.75" hidden="1"/>
    <row r="175" ht="12.75">
      <c r="D175" s="22"/>
    </row>
  </sheetData>
  <sheetProtection/>
  <mergeCells count="6">
    <mergeCell ref="A2:E2"/>
    <mergeCell ref="C1:E1"/>
    <mergeCell ref="D3:E3"/>
    <mergeCell ref="C3:C4"/>
    <mergeCell ref="A3:A4"/>
    <mergeCell ref="B3:B4"/>
  </mergeCells>
  <printOptions horizontalCentered="1"/>
  <pageMargins left="0" right="0" top="0" bottom="0" header="0" footer="0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0"/>
  <sheetViews>
    <sheetView zoomScaleSheetLayoutView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7" sqref="O7"/>
    </sheetView>
  </sheetViews>
  <sheetFormatPr defaultColWidth="9.125" defaultRowHeight="12.75"/>
  <cols>
    <col min="1" max="1" width="7.50390625" style="7" customWidth="1"/>
    <col min="2" max="2" width="61.625" style="2" customWidth="1"/>
    <col min="3" max="3" width="12.50390625" style="2" hidden="1" customWidth="1"/>
    <col min="4" max="4" width="9.125" style="2" hidden="1" customWidth="1"/>
    <col min="5" max="5" width="12.125" style="2" hidden="1" customWidth="1"/>
    <col min="6" max="6" width="11.875" style="2" hidden="1" customWidth="1"/>
    <col min="7" max="8" width="9.125" style="1" hidden="1" customWidth="1"/>
    <col min="9" max="9" width="11.625" style="1" customWidth="1"/>
    <col min="10" max="10" width="9.50390625" style="1" customWidth="1"/>
    <col min="11" max="11" width="10.625" style="1" customWidth="1"/>
    <col min="12" max="14" width="9.125" style="1" customWidth="1"/>
    <col min="15" max="15" width="13.50390625" style="1" customWidth="1"/>
    <col min="16" max="16" width="9.125" style="1" customWidth="1"/>
    <col min="17" max="17" width="11.50390625" style="1" customWidth="1"/>
    <col min="18" max="16384" width="9.125" style="1" customWidth="1"/>
  </cols>
  <sheetData>
    <row r="1" spans="2:5" ht="62.25" customHeight="1">
      <c r="B1" s="13"/>
      <c r="C1" s="43" t="s">
        <v>328</v>
      </c>
      <c r="D1" s="43"/>
      <c r="E1" s="43"/>
    </row>
    <row r="2" spans="1:5" ht="57.75" customHeight="1">
      <c r="A2" s="36" t="s">
        <v>300</v>
      </c>
      <c r="B2" s="36"/>
      <c r="C2" s="36"/>
      <c r="D2" s="36"/>
      <c r="E2" s="36"/>
    </row>
    <row r="3" spans="1:17" ht="24" customHeight="1">
      <c r="A3" s="41" t="s">
        <v>16</v>
      </c>
      <c r="B3" s="42" t="s">
        <v>17</v>
      </c>
      <c r="C3" s="40" t="s">
        <v>273</v>
      </c>
      <c r="D3" s="39" t="s">
        <v>272</v>
      </c>
      <c r="E3" s="39"/>
      <c r="F3" s="40" t="s">
        <v>329</v>
      </c>
      <c r="G3" s="39" t="s">
        <v>272</v>
      </c>
      <c r="H3" s="39"/>
      <c r="I3" s="40" t="s">
        <v>330</v>
      </c>
      <c r="J3" s="39" t="s">
        <v>272</v>
      </c>
      <c r="K3" s="39"/>
      <c r="L3" s="40" t="s">
        <v>331</v>
      </c>
      <c r="M3" s="39" t="s">
        <v>272</v>
      </c>
      <c r="N3" s="39"/>
      <c r="O3" s="40" t="s">
        <v>332</v>
      </c>
      <c r="P3" s="39" t="s">
        <v>272</v>
      </c>
      <c r="Q3" s="39"/>
    </row>
    <row r="4" spans="1:17" ht="87.75" customHeight="1">
      <c r="A4" s="41"/>
      <c r="B4" s="42"/>
      <c r="C4" s="40"/>
      <c r="D4" s="10" t="s">
        <v>274</v>
      </c>
      <c r="E4" s="10" t="s">
        <v>275</v>
      </c>
      <c r="F4" s="40"/>
      <c r="G4" s="10" t="s">
        <v>274</v>
      </c>
      <c r="H4" s="10" t="s">
        <v>275</v>
      </c>
      <c r="I4" s="40"/>
      <c r="J4" s="10" t="s">
        <v>274</v>
      </c>
      <c r="K4" s="10" t="s">
        <v>275</v>
      </c>
      <c r="L4" s="40"/>
      <c r="M4" s="10" t="s">
        <v>274</v>
      </c>
      <c r="N4" s="10" t="s">
        <v>275</v>
      </c>
      <c r="O4" s="40"/>
      <c r="P4" s="10" t="s">
        <v>274</v>
      </c>
      <c r="Q4" s="10" t="s">
        <v>275</v>
      </c>
    </row>
    <row r="5" spans="1:17" ht="43.5" customHeight="1">
      <c r="A5" s="4" t="s">
        <v>22</v>
      </c>
      <c r="B5" s="3" t="s">
        <v>315</v>
      </c>
      <c r="C5" s="12">
        <f>D5+E5</f>
        <v>91.56</v>
      </c>
      <c r="D5" s="12">
        <v>48.03</v>
      </c>
      <c r="E5" s="12">
        <v>43.53</v>
      </c>
      <c r="F5" s="12">
        <v>0</v>
      </c>
      <c r="G5" s="12">
        <v>0</v>
      </c>
      <c r="H5" s="12">
        <v>0</v>
      </c>
      <c r="I5" s="14">
        <f>IF(F5=0,C5,F5)</f>
        <v>91.56</v>
      </c>
      <c r="J5" s="14">
        <f>IF(G5=0,D5,G5)</f>
        <v>48.03</v>
      </c>
      <c r="K5" s="14">
        <f>IF(H5=0,E5,H5)</f>
        <v>43.53</v>
      </c>
      <c r="L5" s="14">
        <f>M5+N5</f>
        <v>0</v>
      </c>
      <c r="M5" s="14"/>
      <c r="N5" s="14"/>
      <c r="O5" s="1">
        <f>P5+Q5</f>
        <v>91.56</v>
      </c>
      <c r="P5" s="1">
        <f>J5+M5</f>
        <v>48.03</v>
      </c>
      <c r="Q5" s="1">
        <f>K5+N5</f>
        <v>43.53</v>
      </c>
    </row>
    <row r="6" spans="1:17" ht="36" customHeight="1">
      <c r="A6" s="4" t="s">
        <v>23</v>
      </c>
      <c r="B6" s="3" t="s">
        <v>295</v>
      </c>
      <c r="C6" s="12">
        <f aca="true" t="shared" si="0" ref="C6:C69">D6+E6</f>
        <v>50.72</v>
      </c>
      <c r="D6" s="12">
        <v>26.47</v>
      </c>
      <c r="E6" s="12">
        <v>24.25</v>
      </c>
      <c r="F6" s="12">
        <v>0</v>
      </c>
      <c r="G6" s="12">
        <v>0</v>
      </c>
      <c r="H6" s="12">
        <v>0</v>
      </c>
      <c r="I6" s="14">
        <f aca="true" t="shared" si="1" ref="I6:I69">IF(F6=0,C6,F6)</f>
        <v>50.72</v>
      </c>
      <c r="J6" s="14">
        <f aca="true" t="shared" si="2" ref="J6:J69">IF(G6=0,D6,G6)</f>
        <v>26.47</v>
      </c>
      <c r="K6" s="14">
        <f aca="true" t="shared" si="3" ref="K6:K69">IF(H6=0,E6,H6)</f>
        <v>24.25</v>
      </c>
      <c r="L6" s="14">
        <f aca="true" t="shared" si="4" ref="L6:L69">M6+N6</f>
        <v>2</v>
      </c>
      <c r="M6" s="14"/>
      <c r="N6" s="14">
        <v>2</v>
      </c>
      <c r="O6" s="1">
        <f aca="true" t="shared" si="5" ref="O6:O69">P6+Q6</f>
        <v>52.72</v>
      </c>
      <c r="P6" s="1">
        <f aca="true" t="shared" si="6" ref="P6:P69">J6+M6</f>
        <v>26.47</v>
      </c>
      <c r="Q6" s="1">
        <f aca="true" t="shared" si="7" ref="Q6:Q69">K6+N6</f>
        <v>26.25</v>
      </c>
    </row>
    <row r="7" spans="1:17" ht="36" customHeight="1">
      <c r="A7" s="4" t="s">
        <v>24</v>
      </c>
      <c r="B7" s="3" t="s">
        <v>289</v>
      </c>
      <c r="C7" s="12">
        <f t="shared" si="0"/>
        <v>104.32</v>
      </c>
      <c r="D7" s="12">
        <v>49.37</v>
      </c>
      <c r="E7" s="12">
        <v>54.95</v>
      </c>
      <c r="F7" s="12">
        <v>0</v>
      </c>
      <c r="G7" s="12">
        <v>0</v>
      </c>
      <c r="H7" s="12">
        <v>0</v>
      </c>
      <c r="I7" s="14">
        <f t="shared" si="1"/>
        <v>104.32</v>
      </c>
      <c r="J7" s="14">
        <f t="shared" si="2"/>
        <v>49.37</v>
      </c>
      <c r="K7" s="14">
        <f t="shared" si="3"/>
        <v>54.95</v>
      </c>
      <c r="L7" s="14">
        <f t="shared" si="4"/>
        <v>0</v>
      </c>
      <c r="M7" s="14"/>
      <c r="N7" s="14"/>
      <c r="O7" s="1">
        <f t="shared" si="5"/>
        <v>104.32</v>
      </c>
      <c r="P7" s="1">
        <f t="shared" si="6"/>
        <v>49.37</v>
      </c>
      <c r="Q7" s="1">
        <f t="shared" si="7"/>
        <v>54.95</v>
      </c>
    </row>
    <row r="8" spans="1:17" ht="43.5" customHeight="1">
      <c r="A8" s="4" t="s">
        <v>25</v>
      </c>
      <c r="B8" s="3" t="s">
        <v>318</v>
      </c>
      <c r="C8" s="12">
        <f t="shared" si="0"/>
        <v>77.82</v>
      </c>
      <c r="D8" s="12">
        <v>44.95</v>
      </c>
      <c r="E8" s="12">
        <v>32.87</v>
      </c>
      <c r="F8" s="12">
        <v>0</v>
      </c>
      <c r="G8" s="12">
        <v>0</v>
      </c>
      <c r="H8" s="12">
        <v>0</v>
      </c>
      <c r="I8" s="14">
        <f t="shared" si="1"/>
        <v>77.82</v>
      </c>
      <c r="J8" s="14">
        <f t="shared" si="2"/>
        <v>44.95</v>
      </c>
      <c r="K8" s="14">
        <f t="shared" si="3"/>
        <v>32.87</v>
      </c>
      <c r="L8" s="14">
        <f t="shared" si="4"/>
        <v>1.76</v>
      </c>
      <c r="M8" s="14"/>
      <c r="N8" s="14">
        <v>1.76</v>
      </c>
      <c r="O8" s="1">
        <f t="shared" si="5"/>
        <v>79.58</v>
      </c>
      <c r="P8" s="1">
        <f t="shared" si="6"/>
        <v>44.95</v>
      </c>
      <c r="Q8" s="1">
        <f t="shared" si="7"/>
        <v>34.629999999999995</v>
      </c>
    </row>
    <row r="9" spans="1:17" ht="36" customHeight="1">
      <c r="A9" s="4" t="s">
        <v>26</v>
      </c>
      <c r="B9" s="3" t="s">
        <v>177</v>
      </c>
      <c r="C9" s="12">
        <f t="shared" si="0"/>
        <v>184.97</v>
      </c>
      <c r="D9" s="12">
        <v>95.14</v>
      </c>
      <c r="E9" s="12">
        <v>89.83</v>
      </c>
      <c r="F9" s="12">
        <v>0</v>
      </c>
      <c r="G9" s="12">
        <v>0</v>
      </c>
      <c r="H9" s="12">
        <v>0</v>
      </c>
      <c r="I9" s="14">
        <f t="shared" si="1"/>
        <v>184.97</v>
      </c>
      <c r="J9" s="14">
        <f t="shared" si="2"/>
        <v>95.14</v>
      </c>
      <c r="K9" s="14">
        <f t="shared" si="3"/>
        <v>89.83</v>
      </c>
      <c r="L9" s="14">
        <f t="shared" si="4"/>
        <v>0</v>
      </c>
      <c r="M9" s="14"/>
      <c r="N9" s="14"/>
      <c r="O9" s="1">
        <f t="shared" si="5"/>
        <v>184.97</v>
      </c>
      <c r="P9" s="1">
        <f t="shared" si="6"/>
        <v>95.14</v>
      </c>
      <c r="Q9" s="1">
        <f t="shared" si="7"/>
        <v>89.83</v>
      </c>
    </row>
    <row r="10" spans="1:17" ht="32.25" customHeight="1">
      <c r="A10" s="4" t="s">
        <v>27</v>
      </c>
      <c r="B10" s="3" t="s">
        <v>178</v>
      </c>
      <c r="C10" s="12">
        <f t="shared" si="0"/>
        <v>189.32999999999998</v>
      </c>
      <c r="D10" s="12">
        <v>99.39</v>
      </c>
      <c r="E10" s="12">
        <v>89.94</v>
      </c>
      <c r="F10" s="12">
        <v>0</v>
      </c>
      <c r="G10" s="12">
        <v>0</v>
      </c>
      <c r="H10" s="12">
        <v>0</v>
      </c>
      <c r="I10" s="14">
        <f t="shared" si="1"/>
        <v>189.32999999999998</v>
      </c>
      <c r="J10" s="14">
        <f t="shared" si="2"/>
        <v>99.39</v>
      </c>
      <c r="K10" s="14">
        <f t="shared" si="3"/>
        <v>89.94</v>
      </c>
      <c r="L10" s="14">
        <f t="shared" si="4"/>
        <v>9.91</v>
      </c>
      <c r="M10" s="14">
        <v>1.75</v>
      </c>
      <c r="N10" s="14">
        <f>2+6.16</f>
        <v>8.16</v>
      </c>
      <c r="O10" s="1">
        <f t="shared" si="5"/>
        <v>199.24</v>
      </c>
      <c r="P10" s="1">
        <f t="shared" si="6"/>
        <v>101.14</v>
      </c>
      <c r="Q10" s="1">
        <f t="shared" si="7"/>
        <v>98.1</v>
      </c>
    </row>
    <row r="11" spans="1:17" ht="36.75" customHeight="1">
      <c r="A11" s="4" t="s">
        <v>28</v>
      </c>
      <c r="B11" s="3" t="s">
        <v>179</v>
      </c>
      <c r="C11" s="12">
        <f t="shared" si="0"/>
        <v>76.68</v>
      </c>
      <c r="D11" s="12">
        <v>41.68</v>
      </c>
      <c r="E11" s="12">
        <v>35</v>
      </c>
      <c r="F11" s="12">
        <v>0</v>
      </c>
      <c r="G11" s="12">
        <v>0</v>
      </c>
      <c r="H11" s="12">
        <v>0</v>
      </c>
      <c r="I11" s="14">
        <f t="shared" si="1"/>
        <v>76.68</v>
      </c>
      <c r="J11" s="14">
        <f t="shared" si="2"/>
        <v>41.68</v>
      </c>
      <c r="K11" s="14">
        <f t="shared" si="3"/>
        <v>35</v>
      </c>
      <c r="L11" s="14">
        <f t="shared" si="4"/>
        <v>1.2</v>
      </c>
      <c r="M11" s="14"/>
      <c r="N11" s="14">
        <v>1.2</v>
      </c>
      <c r="O11" s="1">
        <f t="shared" si="5"/>
        <v>77.88</v>
      </c>
      <c r="P11" s="1">
        <f t="shared" si="6"/>
        <v>41.68</v>
      </c>
      <c r="Q11" s="1">
        <f t="shared" si="7"/>
        <v>36.2</v>
      </c>
    </row>
    <row r="12" spans="1:17" ht="49.5" customHeight="1">
      <c r="A12" s="4" t="s">
        <v>29</v>
      </c>
      <c r="B12" s="3" t="s">
        <v>271</v>
      </c>
      <c r="C12" s="12">
        <f t="shared" si="0"/>
        <v>57.480000000000004</v>
      </c>
      <c r="D12" s="12">
        <v>27.2</v>
      </c>
      <c r="E12" s="12">
        <v>30.28</v>
      </c>
      <c r="F12" s="12">
        <v>0</v>
      </c>
      <c r="G12" s="12">
        <v>0</v>
      </c>
      <c r="H12" s="12">
        <v>0</v>
      </c>
      <c r="I12" s="14">
        <f t="shared" si="1"/>
        <v>57.480000000000004</v>
      </c>
      <c r="J12" s="14">
        <f t="shared" si="2"/>
        <v>27.2</v>
      </c>
      <c r="K12" s="14">
        <f t="shared" si="3"/>
        <v>30.28</v>
      </c>
      <c r="L12" s="14">
        <f t="shared" si="4"/>
        <v>1.5</v>
      </c>
      <c r="M12" s="14">
        <v>1.5</v>
      </c>
      <c r="N12" s="14"/>
      <c r="O12" s="1">
        <f t="shared" si="5"/>
        <v>58.980000000000004</v>
      </c>
      <c r="P12" s="1">
        <f t="shared" si="6"/>
        <v>28.7</v>
      </c>
      <c r="Q12" s="1">
        <f t="shared" si="7"/>
        <v>30.28</v>
      </c>
    </row>
    <row r="13" spans="1:17" ht="33.75" customHeight="1">
      <c r="A13" s="4" t="s">
        <v>30</v>
      </c>
      <c r="B13" s="3" t="s">
        <v>180</v>
      </c>
      <c r="C13" s="12">
        <f t="shared" si="0"/>
        <v>93</v>
      </c>
      <c r="D13" s="12">
        <v>49.83</v>
      </c>
      <c r="E13" s="12">
        <v>43.17</v>
      </c>
      <c r="F13" s="12">
        <v>0</v>
      </c>
      <c r="G13" s="12">
        <v>0</v>
      </c>
      <c r="H13" s="12">
        <v>0</v>
      </c>
      <c r="I13" s="14">
        <f t="shared" si="1"/>
        <v>93</v>
      </c>
      <c r="J13" s="14">
        <f t="shared" si="2"/>
        <v>49.83</v>
      </c>
      <c r="K13" s="14">
        <f t="shared" si="3"/>
        <v>43.17</v>
      </c>
      <c r="L13" s="14">
        <f t="shared" si="4"/>
        <v>0</v>
      </c>
      <c r="M13" s="14"/>
      <c r="N13" s="14"/>
      <c r="O13" s="1">
        <f t="shared" si="5"/>
        <v>93</v>
      </c>
      <c r="P13" s="1">
        <f t="shared" si="6"/>
        <v>49.83</v>
      </c>
      <c r="Q13" s="1">
        <f t="shared" si="7"/>
        <v>43.17</v>
      </c>
    </row>
    <row r="14" spans="1:17" ht="35.25" customHeight="1">
      <c r="A14" s="4" t="s">
        <v>31</v>
      </c>
      <c r="B14" s="3" t="s">
        <v>181</v>
      </c>
      <c r="C14" s="12">
        <f t="shared" si="0"/>
        <v>165.17</v>
      </c>
      <c r="D14" s="12">
        <v>80.71</v>
      </c>
      <c r="E14" s="12">
        <v>84.46</v>
      </c>
      <c r="F14" s="12">
        <v>0</v>
      </c>
      <c r="G14" s="12">
        <v>0</v>
      </c>
      <c r="H14" s="12">
        <v>0</v>
      </c>
      <c r="I14" s="14">
        <f t="shared" si="1"/>
        <v>165.17</v>
      </c>
      <c r="J14" s="14">
        <f t="shared" si="2"/>
        <v>80.71</v>
      </c>
      <c r="K14" s="14">
        <f t="shared" si="3"/>
        <v>84.46</v>
      </c>
      <c r="L14" s="14">
        <f t="shared" si="4"/>
        <v>7.04</v>
      </c>
      <c r="M14" s="14"/>
      <c r="N14" s="14">
        <v>7.04</v>
      </c>
      <c r="O14" s="1">
        <f t="shared" si="5"/>
        <v>172.20999999999998</v>
      </c>
      <c r="P14" s="1">
        <f t="shared" si="6"/>
        <v>80.71</v>
      </c>
      <c r="Q14" s="1">
        <f t="shared" si="7"/>
        <v>91.5</v>
      </c>
    </row>
    <row r="15" spans="1:17" ht="33" customHeight="1">
      <c r="A15" s="4" t="s">
        <v>32</v>
      </c>
      <c r="B15" s="3" t="s">
        <v>182</v>
      </c>
      <c r="C15" s="12">
        <f t="shared" si="0"/>
        <v>120.13</v>
      </c>
      <c r="D15" s="12">
        <v>71.63</v>
      </c>
      <c r="E15" s="12">
        <v>48.5</v>
      </c>
      <c r="F15" s="12">
        <v>0</v>
      </c>
      <c r="G15" s="12">
        <v>0</v>
      </c>
      <c r="H15" s="12">
        <v>0</v>
      </c>
      <c r="I15" s="14">
        <f t="shared" si="1"/>
        <v>120.13</v>
      </c>
      <c r="J15" s="14">
        <f t="shared" si="2"/>
        <v>71.63</v>
      </c>
      <c r="K15" s="14">
        <f t="shared" si="3"/>
        <v>48.5</v>
      </c>
      <c r="L15" s="14">
        <f t="shared" si="4"/>
        <v>0</v>
      </c>
      <c r="M15" s="14"/>
      <c r="N15" s="14"/>
      <c r="O15" s="1">
        <f t="shared" si="5"/>
        <v>120.13</v>
      </c>
      <c r="P15" s="1">
        <f t="shared" si="6"/>
        <v>71.63</v>
      </c>
      <c r="Q15" s="1">
        <f t="shared" si="7"/>
        <v>48.5</v>
      </c>
    </row>
    <row r="16" spans="1:17" ht="33.75" customHeight="1">
      <c r="A16" s="4" t="s">
        <v>33</v>
      </c>
      <c r="B16" s="3" t="s">
        <v>183</v>
      </c>
      <c r="C16" s="12">
        <f t="shared" si="0"/>
        <v>36.71</v>
      </c>
      <c r="D16" s="12">
        <v>20.73</v>
      </c>
      <c r="E16" s="12">
        <v>15.98</v>
      </c>
      <c r="F16" s="12">
        <v>0</v>
      </c>
      <c r="G16" s="12">
        <v>0</v>
      </c>
      <c r="H16" s="12">
        <v>0</v>
      </c>
      <c r="I16" s="14">
        <f t="shared" si="1"/>
        <v>36.71</v>
      </c>
      <c r="J16" s="14">
        <f t="shared" si="2"/>
        <v>20.73</v>
      </c>
      <c r="K16" s="14">
        <f t="shared" si="3"/>
        <v>15.98</v>
      </c>
      <c r="L16" s="14">
        <f t="shared" si="4"/>
        <v>0</v>
      </c>
      <c r="M16" s="14"/>
      <c r="N16" s="14"/>
      <c r="O16" s="1">
        <f t="shared" si="5"/>
        <v>36.71</v>
      </c>
      <c r="P16" s="1">
        <f t="shared" si="6"/>
        <v>20.73</v>
      </c>
      <c r="Q16" s="1">
        <f t="shared" si="7"/>
        <v>15.98</v>
      </c>
    </row>
    <row r="17" spans="1:17" ht="37.5" customHeight="1">
      <c r="A17" s="4" t="s">
        <v>34</v>
      </c>
      <c r="B17" s="3" t="s">
        <v>184</v>
      </c>
      <c r="C17" s="12">
        <f t="shared" si="0"/>
        <v>39.08</v>
      </c>
      <c r="D17" s="12">
        <v>21.58</v>
      </c>
      <c r="E17" s="12">
        <v>17.5</v>
      </c>
      <c r="F17" s="12">
        <v>0</v>
      </c>
      <c r="G17" s="12">
        <v>0</v>
      </c>
      <c r="H17" s="12">
        <v>0</v>
      </c>
      <c r="I17" s="14">
        <f t="shared" si="1"/>
        <v>39.08</v>
      </c>
      <c r="J17" s="14">
        <f t="shared" si="2"/>
        <v>21.58</v>
      </c>
      <c r="K17" s="14">
        <f t="shared" si="3"/>
        <v>17.5</v>
      </c>
      <c r="L17" s="14">
        <f t="shared" si="4"/>
        <v>0.8</v>
      </c>
      <c r="M17" s="14"/>
      <c r="N17" s="14">
        <v>0.8</v>
      </c>
      <c r="O17" s="1">
        <f t="shared" si="5"/>
        <v>39.879999999999995</v>
      </c>
      <c r="P17" s="1">
        <f t="shared" si="6"/>
        <v>21.58</v>
      </c>
      <c r="Q17" s="1">
        <f t="shared" si="7"/>
        <v>18.3</v>
      </c>
    </row>
    <row r="18" spans="1:17" ht="34.5" customHeight="1">
      <c r="A18" s="4" t="s">
        <v>35</v>
      </c>
      <c r="B18" s="3" t="s">
        <v>185</v>
      </c>
      <c r="C18" s="12">
        <f t="shared" si="0"/>
        <v>47.1</v>
      </c>
      <c r="D18" s="12">
        <v>23.35</v>
      </c>
      <c r="E18" s="12">
        <v>23.75</v>
      </c>
      <c r="F18" s="12">
        <v>0</v>
      </c>
      <c r="G18" s="12">
        <v>0</v>
      </c>
      <c r="H18" s="12">
        <v>0</v>
      </c>
      <c r="I18" s="14">
        <f t="shared" si="1"/>
        <v>47.1</v>
      </c>
      <c r="J18" s="14">
        <f t="shared" si="2"/>
        <v>23.35</v>
      </c>
      <c r="K18" s="14">
        <f t="shared" si="3"/>
        <v>23.75</v>
      </c>
      <c r="L18" s="14">
        <f t="shared" si="4"/>
        <v>0.88</v>
      </c>
      <c r="M18" s="14"/>
      <c r="N18" s="14">
        <v>0.88</v>
      </c>
      <c r="O18" s="1">
        <f t="shared" si="5"/>
        <v>47.980000000000004</v>
      </c>
      <c r="P18" s="1">
        <f t="shared" si="6"/>
        <v>23.35</v>
      </c>
      <c r="Q18" s="1">
        <f t="shared" si="7"/>
        <v>24.63</v>
      </c>
    </row>
    <row r="19" spans="1:17" ht="33.75" customHeight="1">
      <c r="A19" s="4" t="s">
        <v>36</v>
      </c>
      <c r="B19" s="3" t="s">
        <v>186</v>
      </c>
      <c r="C19" s="12">
        <f t="shared" si="0"/>
        <v>93.92</v>
      </c>
      <c r="D19" s="12">
        <v>46.21</v>
      </c>
      <c r="E19" s="12">
        <v>47.71</v>
      </c>
      <c r="F19" s="12">
        <v>0</v>
      </c>
      <c r="G19" s="12">
        <v>0</v>
      </c>
      <c r="H19" s="12">
        <v>0</v>
      </c>
      <c r="I19" s="14">
        <f t="shared" si="1"/>
        <v>93.92</v>
      </c>
      <c r="J19" s="14">
        <f t="shared" si="2"/>
        <v>46.21</v>
      </c>
      <c r="K19" s="14">
        <f t="shared" si="3"/>
        <v>47.71</v>
      </c>
      <c r="L19" s="14">
        <f t="shared" si="4"/>
        <v>3.5</v>
      </c>
      <c r="M19" s="14">
        <v>1.5</v>
      </c>
      <c r="N19" s="14">
        <v>2</v>
      </c>
      <c r="O19" s="1">
        <f t="shared" si="5"/>
        <v>97.42</v>
      </c>
      <c r="P19" s="1">
        <f t="shared" si="6"/>
        <v>47.71</v>
      </c>
      <c r="Q19" s="1">
        <f t="shared" si="7"/>
        <v>49.71</v>
      </c>
    </row>
    <row r="20" spans="1:17" ht="36" customHeight="1">
      <c r="A20" s="4" t="s">
        <v>37</v>
      </c>
      <c r="B20" s="3" t="s">
        <v>187</v>
      </c>
      <c r="C20" s="12">
        <f t="shared" si="0"/>
        <v>203.74</v>
      </c>
      <c r="D20" s="12">
        <f>109.77</f>
        <v>109.77</v>
      </c>
      <c r="E20" s="12">
        <v>93.97</v>
      </c>
      <c r="F20" s="12">
        <v>0</v>
      </c>
      <c r="G20" s="12">
        <v>0</v>
      </c>
      <c r="H20" s="12">
        <v>0</v>
      </c>
      <c r="I20" s="14">
        <f t="shared" si="1"/>
        <v>203.74</v>
      </c>
      <c r="J20" s="14">
        <f t="shared" si="2"/>
        <v>109.77</v>
      </c>
      <c r="K20" s="14">
        <f t="shared" si="3"/>
        <v>93.97</v>
      </c>
      <c r="L20" s="14">
        <f t="shared" si="4"/>
        <v>6.6</v>
      </c>
      <c r="M20" s="14"/>
      <c r="N20" s="14">
        <v>6.6</v>
      </c>
      <c r="O20" s="1">
        <f t="shared" si="5"/>
        <v>210.33999999999997</v>
      </c>
      <c r="P20" s="1">
        <f t="shared" si="6"/>
        <v>109.77</v>
      </c>
      <c r="Q20" s="1">
        <f t="shared" si="7"/>
        <v>100.57</v>
      </c>
    </row>
    <row r="21" spans="1:17" ht="34.5" customHeight="1">
      <c r="A21" s="4" t="s">
        <v>38</v>
      </c>
      <c r="B21" s="3" t="s">
        <v>270</v>
      </c>
      <c r="C21" s="12">
        <f t="shared" si="0"/>
        <v>60.31</v>
      </c>
      <c r="D21" s="12">
        <v>26</v>
      </c>
      <c r="E21" s="12">
        <v>34.31</v>
      </c>
      <c r="F21" s="12">
        <v>0</v>
      </c>
      <c r="G21" s="12">
        <v>0</v>
      </c>
      <c r="H21" s="12">
        <v>0</v>
      </c>
      <c r="I21" s="14">
        <f t="shared" si="1"/>
        <v>60.31</v>
      </c>
      <c r="J21" s="14">
        <f t="shared" si="2"/>
        <v>26</v>
      </c>
      <c r="K21" s="14">
        <f t="shared" si="3"/>
        <v>34.31</v>
      </c>
      <c r="L21" s="14">
        <f t="shared" si="4"/>
        <v>0.64</v>
      </c>
      <c r="M21" s="14"/>
      <c r="N21" s="14">
        <v>0.64</v>
      </c>
      <c r="O21" s="1">
        <f t="shared" si="5"/>
        <v>60.95</v>
      </c>
      <c r="P21" s="1">
        <f t="shared" si="6"/>
        <v>26</v>
      </c>
      <c r="Q21" s="1">
        <f t="shared" si="7"/>
        <v>34.95</v>
      </c>
    </row>
    <row r="22" spans="1:17" ht="35.25" customHeight="1">
      <c r="A22" s="4" t="s">
        <v>39</v>
      </c>
      <c r="B22" s="3" t="s">
        <v>188</v>
      </c>
      <c r="C22" s="12">
        <f t="shared" si="0"/>
        <v>44.379999999999995</v>
      </c>
      <c r="D22" s="12">
        <v>25.38</v>
      </c>
      <c r="E22" s="12">
        <v>19</v>
      </c>
      <c r="F22" s="12">
        <v>0</v>
      </c>
      <c r="G22" s="12">
        <v>0</v>
      </c>
      <c r="H22" s="12">
        <v>0</v>
      </c>
      <c r="I22" s="14">
        <f t="shared" si="1"/>
        <v>44.379999999999995</v>
      </c>
      <c r="J22" s="14">
        <f t="shared" si="2"/>
        <v>25.38</v>
      </c>
      <c r="K22" s="14">
        <f t="shared" si="3"/>
        <v>19</v>
      </c>
      <c r="L22" s="14">
        <f t="shared" si="4"/>
        <v>3.52</v>
      </c>
      <c r="M22" s="14"/>
      <c r="N22" s="14">
        <v>3.52</v>
      </c>
      <c r="O22" s="1">
        <f t="shared" si="5"/>
        <v>47.9</v>
      </c>
      <c r="P22" s="1">
        <f t="shared" si="6"/>
        <v>25.38</v>
      </c>
      <c r="Q22" s="1">
        <f t="shared" si="7"/>
        <v>22.52</v>
      </c>
    </row>
    <row r="23" spans="1:17" ht="36" customHeight="1">
      <c r="A23" s="4" t="s">
        <v>40</v>
      </c>
      <c r="B23" s="3" t="s">
        <v>285</v>
      </c>
      <c r="C23" s="12">
        <f t="shared" si="0"/>
        <v>73.24000000000001</v>
      </c>
      <c r="D23" s="12">
        <v>35.82</v>
      </c>
      <c r="E23" s="12">
        <v>37.42</v>
      </c>
      <c r="F23" s="12">
        <v>0</v>
      </c>
      <c r="G23" s="12">
        <v>0</v>
      </c>
      <c r="H23" s="12">
        <v>0</v>
      </c>
      <c r="I23" s="14">
        <f t="shared" si="1"/>
        <v>73.24000000000001</v>
      </c>
      <c r="J23" s="14">
        <f t="shared" si="2"/>
        <v>35.82</v>
      </c>
      <c r="K23" s="14">
        <f t="shared" si="3"/>
        <v>37.42</v>
      </c>
      <c r="L23" s="14">
        <f t="shared" si="4"/>
        <v>0</v>
      </c>
      <c r="M23" s="14"/>
      <c r="N23" s="14"/>
      <c r="O23" s="1">
        <f t="shared" si="5"/>
        <v>73.24000000000001</v>
      </c>
      <c r="P23" s="1">
        <f t="shared" si="6"/>
        <v>35.82</v>
      </c>
      <c r="Q23" s="1">
        <f t="shared" si="7"/>
        <v>37.42</v>
      </c>
    </row>
    <row r="24" spans="1:17" ht="34.5" customHeight="1">
      <c r="A24" s="4" t="s">
        <v>41</v>
      </c>
      <c r="B24" s="3" t="s">
        <v>12</v>
      </c>
      <c r="C24" s="12">
        <f t="shared" si="0"/>
        <v>86.32</v>
      </c>
      <c r="D24" s="12">
        <v>51.4</v>
      </c>
      <c r="E24" s="12">
        <v>34.92</v>
      </c>
      <c r="F24" s="12">
        <v>0</v>
      </c>
      <c r="G24" s="12">
        <v>0</v>
      </c>
      <c r="H24" s="12">
        <v>0</v>
      </c>
      <c r="I24" s="14">
        <f t="shared" si="1"/>
        <v>86.32</v>
      </c>
      <c r="J24" s="14">
        <f t="shared" si="2"/>
        <v>51.4</v>
      </c>
      <c r="K24" s="14">
        <f t="shared" si="3"/>
        <v>34.92</v>
      </c>
      <c r="L24" s="14">
        <f t="shared" si="4"/>
        <v>0</v>
      </c>
      <c r="M24" s="14"/>
      <c r="N24" s="14"/>
      <c r="O24" s="1">
        <f t="shared" si="5"/>
        <v>86.32</v>
      </c>
      <c r="P24" s="1">
        <f t="shared" si="6"/>
        <v>51.4</v>
      </c>
      <c r="Q24" s="1">
        <f t="shared" si="7"/>
        <v>34.92</v>
      </c>
    </row>
    <row r="25" spans="1:17" ht="36" customHeight="1">
      <c r="A25" s="4" t="s">
        <v>42</v>
      </c>
      <c r="B25" s="3" t="s">
        <v>290</v>
      </c>
      <c r="C25" s="12">
        <f t="shared" si="0"/>
        <v>190.14</v>
      </c>
      <c r="D25" s="12">
        <v>100.76</v>
      </c>
      <c r="E25" s="12">
        <v>89.38</v>
      </c>
      <c r="F25" s="12">
        <v>0</v>
      </c>
      <c r="G25" s="12">
        <v>0</v>
      </c>
      <c r="H25" s="12">
        <v>0</v>
      </c>
      <c r="I25" s="14">
        <f t="shared" si="1"/>
        <v>190.14</v>
      </c>
      <c r="J25" s="14">
        <f t="shared" si="2"/>
        <v>100.76</v>
      </c>
      <c r="K25" s="14">
        <f t="shared" si="3"/>
        <v>89.38</v>
      </c>
      <c r="L25" s="14">
        <f t="shared" si="4"/>
        <v>7</v>
      </c>
      <c r="M25" s="14"/>
      <c r="N25" s="14">
        <v>7</v>
      </c>
      <c r="O25" s="1">
        <f t="shared" si="5"/>
        <v>197.14</v>
      </c>
      <c r="P25" s="1">
        <f t="shared" si="6"/>
        <v>100.76</v>
      </c>
      <c r="Q25" s="1">
        <f t="shared" si="7"/>
        <v>96.38</v>
      </c>
    </row>
    <row r="26" spans="1:17" ht="35.25" customHeight="1">
      <c r="A26" s="4" t="s">
        <v>43</v>
      </c>
      <c r="B26" s="3" t="s">
        <v>321</v>
      </c>
      <c r="C26" s="12">
        <f t="shared" si="0"/>
        <v>46.56</v>
      </c>
      <c r="D26" s="12">
        <v>21.73</v>
      </c>
      <c r="E26" s="12">
        <v>24.83</v>
      </c>
      <c r="F26" s="12">
        <v>0</v>
      </c>
      <c r="G26" s="12">
        <v>0</v>
      </c>
      <c r="H26" s="12">
        <v>0</v>
      </c>
      <c r="I26" s="14">
        <f t="shared" si="1"/>
        <v>46.56</v>
      </c>
      <c r="J26" s="14">
        <f t="shared" si="2"/>
        <v>21.73</v>
      </c>
      <c r="K26" s="14">
        <f t="shared" si="3"/>
        <v>24.83</v>
      </c>
      <c r="L26" s="14">
        <f t="shared" si="4"/>
        <v>0</v>
      </c>
      <c r="M26" s="14"/>
      <c r="N26" s="14"/>
      <c r="O26" s="1">
        <f t="shared" si="5"/>
        <v>46.56</v>
      </c>
      <c r="P26" s="1">
        <f t="shared" si="6"/>
        <v>21.73</v>
      </c>
      <c r="Q26" s="1">
        <f t="shared" si="7"/>
        <v>24.83</v>
      </c>
    </row>
    <row r="27" spans="1:17" ht="33.75" customHeight="1">
      <c r="A27" s="4" t="s">
        <v>44</v>
      </c>
      <c r="B27" s="3" t="s">
        <v>189</v>
      </c>
      <c r="C27" s="12">
        <f t="shared" si="0"/>
        <v>55.1</v>
      </c>
      <c r="D27" s="12">
        <v>30.35</v>
      </c>
      <c r="E27" s="12">
        <v>24.75</v>
      </c>
      <c r="F27" s="12">
        <v>0</v>
      </c>
      <c r="G27" s="12">
        <v>0</v>
      </c>
      <c r="H27" s="12">
        <v>0</v>
      </c>
      <c r="I27" s="14">
        <f t="shared" si="1"/>
        <v>55.1</v>
      </c>
      <c r="J27" s="14">
        <f t="shared" si="2"/>
        <v>30.35</v>
      </c>
      <c r="K27" s="14">
        <f t="shared" si="3"/>
        <v>24.75</v>
      </c>
      <c r="L27" s="14">
        <f t="shared" si="4"/>
        <v>2</v>
      </c>
      <c r="M27" s="14"/>
      <c r="N27" s="14">
        <v>2</v>
      </c>
      <c r="O27" s="1">
        <f t="shared" si="5"/>
        <v>57.1</v>
      </c>
      <c r="P27" s="1">
        <f t="shared" si="6"/>
        <v>30.35</v>
      </c>
      <c r="Q27" s="1">
        <f t="shared" si="7"/>
        <v>26.75</v>
      </c>
    </row>
    <row r="28" spans="1:17" ht="42" customHeight="1">
      <c r="A28" s="4" t="s">
        <v>45</v>
      </c>
      <c r="B28" s="3" t="s">
        <v>296</v>
      </c>
      <c r="C28" s="12">
        <f t="shared" si="0"/>
        <v>69.35</v>
      </c>
      <c r="D28" s="12">
        <v>37.85</v>
      </c>
      <c r="E28" s="12">
        <v>31.5</v>
      </c>
      <c r="F28" s="12">
        <v>0</v>
      </c>
      <c r="G28" s="12">
        <v>0</v>
      </c>
      <c r="H28" s="12">
        <v>0</v>
      </c>
      <c r="I28" s="14">
        <f t="shared" si="1"/>
        <v>69.35</v>
      </c>
      <c r="J28" s="14">
        <f t="shared" si="2"/>
        <v>37.85</v>
      </c>
      <c r="K28" s="14">
        <f t="shared" si="3"/>
        <v>31.5</v>
      </c>
      <c r="L28" s="14">
        <f t="shared" si="4"/>
        <v>2</v>
      </c>
      <c r="M28" s="14"/>
      <c r="N28" s="14">
        <v>2</v>
      </c>
      <c r="O28" s="1">
        <f t="shared" si="5"/>
        <v>71.35</v>
      </c>
      <c r="P28" s="1">
        <f t="shared" si="6"/>
        <v>37.85</v>
      </c>
      <c r="Q28" s="1">
        <f t="shared" si="7"/>
        <v>33.5</v>
      </c>
    </row>
    <row r="29" spans="1:17" ht="35.25" customHeight="1">
      <c r="A29" s="4" t="s">
        <v>46</v>
      </c>
      <c r="B29" s="3" t="s">
        <v>190</v>
      </c>
      <c r="C29" s="12">
        <f t="shared" si="0"/>
        <v>45.3</v>
      </c>
      <c r="D29" s="12">
        <v>23.3</v>
      </c>
      <c r="E29" s="12">
        <v>22</v>
      </c>
      <c r="F29" s="12">
        <v>0</v>
      </c>
      <c r="G29" s="12">
        <v>0</v>
      </c>
      <c r="H29" s="12">
        <v>0</v>
      </c>
      <c r="I29" s="14">
        <f t="shared" si="1"/>
        <v>45.3</v>
      </c>
      <c r="J29" s="14">
        <f t="shared" si="2"/>
        <v>23.3</v>
      </c>
      <c r="K29" s="14">
        <f t="shared" si="3"/>
        <v>22</v>
      </c>
      <c r="L29" s="14">
        <f t="shared" si="4"/>
        <v>0</v>
      </c>
      <c r="M29" s="14"/>
      <c r="N29" s="14"/>
      <c r="O29" s="1">
        <f t="shared" si="5"/>
        <v>45.3</v>
      </c>
      <c r="P29" s="1">
        <f t="shared" si="6"/>
        <v>23.3</v>
      </c>
      <c r="Q29" s="1">
        <f t="shared" si="7"/>
        <v>22</v>
      </c>
    </row>
    <row r="30" spans="1:17" ht="31.5" customHeight="1">
      <c r="A30" s="4" t="s">
        <v>47</v>
      </c>
      <c r="B30" s="3" t="s">
        <v>191</v>
      </c>
      <c r="C30" s="12">
        <f t="shared" si="0"/>
        <v>83.43</v>
      </c>
      <c r="D30" s="12">
        <f>47.45-0.02</f>
        <v>47.43</v>
      </c>
      <c r="E30" s="12">
        <v>36</v>
      </c>
      <c r="F30" s="12">
        <v>0</v>
      </c>
      <c r="G30" s="12">
        <v>0</v>
      </c>
      <c r="H30" s="12">
        <v>0</v>
      </c>
      <c r="I30" s="14">
        <f t="shared" si="1"/>
        <v>83.43</v>
      </c>
      <c r="J30" s="14">
        <f t="shared" si="2"/>
        <v>47.43</v>
      </c>
      <c r="K30" s="14">
        <f t="shared" si="3"/>
        <v>36</v>
      </c>
      <c r="L30" s="14">
        <f t="shared" si="4"/>
        <v>3.6</v>
      </c>
      <c r="M30" s="14"/>
      <c r="N30" s="14">
        <v>3.6</v>
      </c>
      <c r="O30" s="1">
        <f t="shared" si="5"/>
        <v>87.03</v>
      </c>
      <c r="P30" s="1">
        <f t="shared" si="6"/>
        <v>47.43</v>
      </c>
      <c r="Q30" s="1">
        <f t="shared" si="7"/>
        <v>39.6</v>
      </c>
    </row>
    <row r="31" spans="1:17" ht="34.5" customHeight="1">
      <c r="A31" s="4" t="s">
        <v>48</v>
      </c>
      <c r="B31" s="3" t="s">
        <v>192</v>
      </c>
      <c r="C31" s="12">
        <f t="shared" si="0"/>
        <v>128.97</v>
      </c>
      <c r="D31" s="12">
        <v>67.05</v>
      </c>
      <c r="E31" s="12">
        <v>61.92</v>
      </c>
      <c r="F31" s="12">
        <v>0</v>
      </c>
      <c r="G31" s="12">
        <v>0</v>
      </c>
      <c r="H31" s="12">
        <v>0</v>
      </c>
      <c r="I31" s="14">
        <f t="shared" si="1"/>
        <v>128.97</v>
      </c>
      <c r="J31" s="14">
        <f t="shared" si="2"/>
        <v>67.05</v>
      </c>
      <c r="K31" s="14">
        <f t="shared" si="3"/>
        <v>61.92</v>
      </c>
      <c r="L31" s="14">
        <f t="shared" si="4"/>
        <v>4.5</v>
      </c>
      <c r="M31" s="14"/>
      <c r="N31" s="14">
        <v>4.5</v>
      </c>
      <c r="O31" s="1">
        <f t="shared" si="5"/>
        <v>133.47</v>
      </c>
      <c r="P31" s="1">
        <f t="shared" si="6"/>
        <v>67.05</v>
      </c>
      <c r="Q31" s="1">
        <f t="shared" si="7"/>
        <v>66.42</v>
      </c>
    </row>
    <row r="32" spans="1:17" ht="35.25" customHeight="1">
      <c r="A32" s="4" t="s">
        <v>49</v>
      </c>
      <c r="B32" s="3" t="s">
        <v>193</v>
      </c>
      <c r="C32" s="12">
        <f t="shared" si="0"/>
        <v>90</v>
      </c>
      <c r="D32" s="12">
        <v>46.47</v>
      </c>
      <c r="E32" s="12">
        <v>43.53</v>
      </c>
      <c r="F32" s="12">
        <v>0</v>
      </c>
      <c r="G32" s="12">
        <v>0</v>
      </c>
      <c r="H32" s="12">
        <v>0</v>
      </c>
      <c r="I32" s="14">
        <f t="shared" si="1"/>
        <v>90</v>
      </c>
      <c r="J32" s="14">
        <f t="shared" si="2"/>
        <v>46.47</v>
      </c>
      <c r="K32" s="14">
        <f t="shared" si="3"/>
        <v>43.53</v>
      </c>
      <c r="L32" s="14">
        <f t="shared" si="4"/>
        <v>0</v>
      </c>
      <c r="M32" s="14"/>
      <c r="N32" s="14"/>
      <c r="O32" s="1">
        <f t="shared" si="5"/>
        <v>90</v>
      </c>
      <c r="P32" s="1">
        <f t="shared" si="6"/>
        <v>46.47</v>
      </c>
      <c r="Q32" s="1">
        <f t="shared" si="7"/>
        <v>43.53</v>
      </c>
    </row>
    <row r="33" spans="1:17" ht="33.75" customHeight="1">
      <c r="A33" s="4" t="s">
        <v>50</v>
      </c>
      <c r="B33" s="3" t="s">
        <v>194</v>
      </c>
      <c r="C33" s="12">
        <f t="shared" si="0"/>
        <v>163.95</v>
      </c>
      <c r="D33" s="12">
        <v>87.32</v>
      </c>
      <c r="E33" s="12">
        <v>76.63</v>
      </c>
      <c r="F33" s="12">
        <f>G33+H33</f>
        <v>163.28</v>
      </c>
      <c r="G33" s="12">
        <v>86.65</v>
      </c>
      <c r="H33" s="12">
        <f>E33</f>
        <v>76.63</v>
      </c>
      <c r="I33" s="14">
        <f t="shared" si="1"/>
        <v>163.28</v>
      </c>
      <c r="J33" s="14">
        <f t="shared" si="2"/>
        <v>86.65</v>
      </c>
      <c r="K33" s="14">
        <f t="shared" si="3"/>
        <v>76.63</v>
      </c>
      <c r="L33" s="14">
        <f t="shared" si="4"/>
        <v>4</v>
      </c>
      <c r="M33" s="14"/>
      <c r="N33" s="14">
        <v>4</v>
      </c>
      <c r="O33" s="1">
        <f t="shared" si="5"/>
        <v>167.28</v>
      </c>
      <c r="P33" s="1">
        <f t="shared" si="6"/>
        <v>86.65</v>
      </c>
      <c r="Q33" s="1">
        <f t="shared" si="7"/>
        <v>80.63</v>
      </c>
    </row>
    <row r="34" spans="1:17" ht="31.5" customHeight="1">
      <c r="A34" s="4" t="s">
        <v>51</v>
      </c>
      <c r="B34" s="3" t="s">
        <v>195</v>
      </c>
      <c r="C34" s="12">
        <f t="shared" si="0"/>
        <v>76.5</v>
      </c>
      <c r="D34" s="12">
        <v>33.12</v>
      </c>
      <c r="E34" s="12">
        <v>43.38</v>
      </c>
      <c r="F34" s="12">
        <v>0</v>
      </c>
      <c r="G34" s="12">
        <v>0</v>
      </c>
      <c r="H34" s="12">
        <v>0</v>
      </c>
      <c r="I34" s="14">
        <f t="shared" si="1"/>
        <v>76.5</v>
      </c>
      <c r="J34" s="14">
        <f t="shared" si="2"/>
        <v>33.12</v>
      </c>
      <c r="K34" s="14">
        <f t="shared" si="3"/>
        <v>43.38</v>
      </c>
      <c r="L34" s="14">
        <f t="shared" si="4"/>
        <v>0</v>
      </c>
      <c r="M34" s="14"/>
      <c r="N34" s="14"/>
      <c r="O34" s="1">
        <f t="shared" si="5"/>
        <v>76.5</v>
      </c>
      <c r="P34" s="1">
        <f t="shared" si="6"/>
        <v>33.12</v>
      </c>
      <c r="Q34" s="1">
        <f t="shared" si="7"/>
        <v>43.38</v>
      </c>
    </row>
    <row r="35" spans="1:17" ht="27">
      <c r="A35" s="4" t="s">
        <v>52</v>
      </c>
      <c r="B35" s="3" t="s">
        <v>196</v>
      </c>
      <c r="C35" s="12">
        <f t="shared" si="0"/>
        <v>139.01</v>
      </c>
      <c r="D35" s="12">
        <v>70.66</v>
      </c>
      <c r="E35" s="12">
        <v>68.35</v>
      </c>
      <c r="F35" s="12">
        <v>0</v>
      </c>
      <c r="G35" s="12">
        <v>0</v>
      </c>
      <c r="H35" s="12">
        <v>0</v>
      </c>
      <c r="I35" s="14">
        <f t="shared" si="1"/>
        <v>139.01</v>
      </c>
      <c r="J35" s="14">
        <f t="shared" si="2"/>
        <v>70.66</v>
      </c>
      <c r="K35" s="14">
        <f t="shared" si="3"/>
        <v>68.35</v>
      </c>
      <c r="L35" s="14">
        <f t="shared" si="4"/>
        <v>4.4</v>
      </c>
      <c r="M35" s="14"/>
      <c r="N35" s="14">
        <v>4.4</v>
      </c>
      <c r="O35" s="1">
        <f t="shared" si="5"/>
        <v>143.41</v>
      </c>
      <c r="P35" s="1">
        <f t="shared" si="6"/>
        <v>70.66</v>
      </c>
      <c r="Q35" s="1">
        <f t="shared" si="7"/>
        <v>72.75</v>
      </c>
    </row>
    <row r="36" spans="1:17" ht="36.75" customHeight="1">
      <c r="A36" s="4" t="s">
        <v>281</v>
      </c>
      <c r="B36" s="3" t="s">
        <v>197</v>
      </c>
      <c r="C36" s="12">
        <f t="shared" si="0"/>
        <v>86.00999999999999</v>
      </c>
      <c r="D36" s="12">
        <v>44.14</v>
      </c>
      <c r="E36" s="12">
        <v>41.87</v>
      </c>
      <c r="F36" s="12">
        <v>0</v>
      </c>
      <c r="G36" s="12">
        <v>0</v>
      </c>
      <c r="H36" s="12">
        <v>0</v>
      </c>
      <c r="I36" s="14">
        <f t="shared" si="1"/>
        <v>86.00999999999999</v>
      </c>
      <c r="J36" s="14">
        <f t="shared" si="2"/>
        <v>44.14</v>
      </c>
      <c r="K36" s="14">
        <f t="shared" si="3"/>
        <v>41.87</v>
      </c>
      <c r="L36" s="14">
        <f t="shared" si="4"/>
        <v>3.6</v>
      </c>
      <c r="M36" s="14"/>
      <c r="N36" s="14">
        <v>3.6</v>
      </c>
      <c r="O36" s="1">
        <f t="shared" si="5"/>
        <v>89.61</v>
      </c>
      <c r="P36" s="1">
        <f t="shared" si="6"/>
        <v>44.14</v>
      </c>
      <c r="Q36" s="1">
        <f t="shared" si="7"/>
        <v>45.47</v>
      </c>
    </row>
    <row r="37" spans="1:17" ht="31.5" customHeight="1">
      <c r="A37" s="4" t="s">
        <v>53</v>
      </c>
      <c r="B37" s="3" t="s">
        <v>269</v>
      </c>
      <c r="C37" s="12">
        <f t="shared" si="0"/>
        <v>164.25</v>
      </c>
      <c r="D37" s="12">
        <v>79.1</v>
      </c>
      <c r="E37" s="12">
        <v>85.15</v>
      </c>
      <c r="F37" s="12">
        <v>0</v>
      </c>
      <c r="G37" s="12">
        <v>0</v>
      </c>
      <c r="H37" s="12">
        <v>0</v>
      </c>
      <c r="I37" s="14">
        <f t="shared" si="1"/>
        <v>164.25</v>
      </c>
      <c r="J37" s="14">
        <f t="shared" si="2"/>
        <v>79.1</v>
      </c>
      <c r="K37" s="14">
        <f t="shared" si="3"/>
        <v>85.15</v>
      </c>
      <c r="L37" s="14">
        <f t="shared" si="4"/>
        <v>5.5</v>
      </c>
      <c r="M37" s="14"/>
      <c r="N37" s="14">
        <v>5.5</v>
      </c>
      <c r="O37" s="1">
        <f t="shared" si="5"/>
        <v>169.75</v>
      </c>
      <c r="P37" s="1">
        <f t="shared" si="6"/>
        <v>79.1</v>
      </c>
      <c r="Q37" s="1">
        <f t="shared" si="7"/>
        <v>90.65</v>
      </c>
    </row>
    <row r="38" spans="1:17" ht="27">
      <c r="A38" s="4" t="s">
        <v>54</v>
      </c>
      <c r="B38" s="3" t="s">
        <v>198</v>
      </c>
      <c r="C38" s="12">
        <f t="shared" si="0"/>
        <v>124.51</v>
      </c>
      <c r="D38" s="12">
        <v>66.76</v>
      </c>
      <c r="E38" s="12">
        <v>57.75</v>
      </c>
      <c r="F38" s="12">
        <v>0</v>
      </c>
      <c r="G38" s="12">
        <v>0</v>
      </c>
      <c r="H38" s="12">
        <v>0</v>
      </c>
      <c r="I38" s="14">
        <f t="shared" si="1"/>
        <v>124.51</v>
      </c>
      <c r="J38" s="14">
        <f t="shared" si="2"/>
        <v>66.76</v>
      </c>
      <c r="K38" s="14">
        <f t="shared" si="3"/>
        <v>57.75</v>
      </c>
      <c r="L38" s="14">
        <f t="shared" si="4"/>
        <v>0</v>
      </c>
      <c r="M38" s="14"/>
      <c r="N38" s="14"/>
      <c r="O38" s="1">
        <f t="shared" si="5"/>
        <v>124.51</v>
      </c>
      <c r="P38" s="1">
        <f t="shared" si="6"/>
        <v>66.76</v>
      </c>
      <c r="Q38" s="1">
        <f t="shared" si="7"/>
        <v>57.75</v>
      </c>
    </row>
    <row r="39" spans="1:17" ht="27">
      <c r="A39" s="4" t="s">
        <v>55</v>
      </c>
      <c r="B39" s="3" t="s">
        <v>199</v>
      </c>
      <c r="C39" s="12">
        <f t="shared" si="0"/>
        <v>210.56</v>
      </c>
      <c r="D39" s="12">
        <v>108.81</v>
      </c>
      <c r="E39" s="12">
        <v>101.75</v>
      </c>
      <c r="F39" s="12">
        <v>0</v>
      </c>
      <c r="G39" s="12">
        <v>0</v>
      </c>
      <c r="H39" s="12">
        <v>0</v>
      </c>
      <c r="I39" s="14">
        <f t="shared" si="1"/>
        <v>210.56</v>
      </c>
      <c r="J39" s="14">
        <f t="shared" si="2"/>
        <v>108.81</v>
      </c>
      <c r="K39" s="14">
        <f t="shared" si="3"/>
        <v>101.75</v>
      </c>
      <c r="L39" s="14">
        <f t="shared" si="4"/>
        <v>12.32</v>
      </c>
      <c r="M39" s="14"/>
      <c r="N39" s="14">
        <v>12.32</v>
      </c>
      <c r="O39" s="1">
        <f t="shared" si="5"/>
        <v>222.88</v>
      </c>
      <c r="P39" s="1">
        <f t="shared" si="6"/>
        <v>108.81</v>
      </c>
      <c r="Q39" s="1">
        <f t="shared" si="7"/>
        <v>114.07</v>
      </c>
    </row>
    <row r="40" spans="1:17" ht="27">
      <c r="A40" s="4" t="s">
        <v>56</v>
      </c>
      <c r="B40" s="3" t="s">
        <v>200</v>
      </c>
      <c r="C40" s="12">
        <f t="shared" si="0"/>
        <v>173.54000000000002</v>
      </c>
      <c r="D40" s="12">
        <v>88.45</v>
      </c>
      <c r="E40" s="12">
        <v>85.09</v>
      </c>
      <c r="F40" s="12">
        <v>0</v>
      </c>
      <c r="G40" s="12">
        <v>0</v>
      </c>
      <c r="H40" s="12">
        <v>0</v>
      </c>
      <c r="I40" s="14">
        <f t="shared" si="1"/>
        <v>173.54000000000002</v>
      </c>
      <c r="J40" s="14">
        <f t="shared" si="2"/>
        <v>88.45</v>
      </c>
      <c r="K40" s="14">
        <f t="shared" si="3"/>
        <v>85.09</v>
      </c>
      <c r="L40" s="14">
        <f t="shared" si="4"/>
        <v>6.2</v>
      </c>
      <c r="M40" s="14"/>
      <c r="N40" s="14">
        <f>1+5.2</f>
        <v>6.2</v>
      </c>
      <c r="O40" s="1">
        <f t="shared" si="5"/>
        <v>179.74</v>
      </c>
      <c r="P40" s="1">
        <f t="shared" si="6"/>
        <v>88.45</v>
      </c>
      <c r="Q40" s="1">
        <f t="shared" si="7"/>
        <v>91.29</v>
      </c>
    </row>
    <row r="41" spans="1:17" ht="27">
      <c r="A41" s="4" t="s">
        <v>57</v>
      </c>
      <c r="B41" s="3" t="s">
        <v>249</v>
      </c>
      <c r="C41" s="12">
        <f t="shared" si="0"/>
        <v>134.25</v>
      </c>
      <c r="D41" s="12">
        <v>70.65</v>
      </c>
      <c r="E41" s="12">
        <v>63.6</v>
      </c>
      <c r="F41" s="12">
        <v>0</v>
      </c>
      <c r="G41" s="12">
        <v>0</v>
      </c>
      <c r="H41" s="12">
        <v>0</v>
      </c>
      <c r="I41" s="14">
        <f t="shared" si="1"/>
        <v>134.25</v>
      </c>
      <c r="J41" s="14">
        <f t="shared" si="2"/>
        <v>70.65</v>
      </c>
      <c r="K41" s="14">
        <f t="shared" si="3"/>
        <v>63.6</v>
      </c>
      <c r="L41" s="14">
        <f t="shared" si="4"/>
        <v>2.4</v>
      </c>
      <c r="M41" s="14"/>
      <c r="N41" s="14">
        <v>2.4</v>
      </c>
      <c r="O41" s="1">
        <f t="shared" si="5"/>
        <v>136.65</v>
      </c>
      <c r="P41" s="1">
        <f t="shared" si="6"/>
        <v>70.65</v>
      </c>
      <c r="Q41" s="1">
        <f t="shared" si="7"/>
        <v>66</v>
      </c>
    </row>
    <row r="42" spans="1:17" ht="39" customHeight="1">
      <c r="A42" s="4" t="s">
        <v>58</v>
      </c>
      <c r="B42" s="3" t="s">
        <v>284</v>
      </c>
      <c r="C42" s="12">
        <f t="shared" si="0"/>
        <v>82.36</v>
      </c>
      <c r="D42" s="12">
        <v>40.76</v>
      </c>
      <c r="E42" s="12">
        <v>41.6</v>
      </c>
      <c r="F42" s="12">
        <v>0</v>
      </c>
      <c r="G42" s="12">
        <v>0</v>
      </c>
      <c r="H42" s="12">
        <v>0</v>
      </c>
      <c r="I42" s="14">
        <f t="shared" si="1"/>
        <v>82.36</v>
      </c>
      <c r="J42" s="14">
        <f t="shared" si="2"/>
        <v>40.76</v>
      </c>
      <c r="K42" s="14">
        <f t="shared" si="3"/>
        <v>41.6</v>
      </c>
      <c r="L42" s="14">
        <f t="shared" si="4"/>
        <v>1.6</v>
      </c>
      <c r="M42" s="14"/>
      <c r="N42" s="14">
        <v>1.6</v>
      </c>
      <c r="O42" s="1">
        <f t="shared" si="5"/>
        <v>83.96000000000001</v>
      </c>
      <c r="P42" s="1">
        <f t="shared" si="6"/>
        <v>40.76</v>
      </c>
      <c r="Q42" s="1">
        <f t="shared" si="7"/>
        <v>43.2</v>
      </c>
    </row>
    <row r="43" spans="1:17" ht="33.75" customHeight="1">
      <c r="A43" s="4" t="s">
        <v>282</v>
      </c>
      <c r="B43" s="3" t="s">
        <v>201</v>
      </c>
      <c r="C43" s="12">
        <f t="shared" si="0"/>
        <v>74.58</v>
      </c>
      <c r="D43" s="12">
        <v>38.08</v>
      </c>
      <c r="E43" s="12">
        <v>36.5</v>
      </c>
      <c r="F43" s="12">
        <v>0</v>
      </c>
      <c r="G43" s="12">
        <v>0</v>
      </c>
      <c r="H43" s="12">
        <v>0</v>
      </c>
      <c r="I43" s="14">
        <f t="shared" si="1"/>
        <v>74.58</v>
      </c>
      <c r="J43" s="14">
        <f t="shared" si="2"/>
        <v>38.08</v>
      </c>
      <c r="K43" s="14">
        <f t="shared" si="3"/>
        <v>36.5</v>
      </c>
      <c r="L43" s="14">
        <f t="shared" si="4"/>
        <v>4.140000000000001</v>
      </c>
      <c r="M43" s="14">
        <v>1.5</v>
      </c>
      <c r="N43" s="14">
        <v>2.64</v>
      </c>
      <c r="O43" s="1">
        <f t="shared" si="5"/>
        <v>78.72</v>
      </c>
      <c r="P43" s="1">
        <f t="shared" si="6"/>
        <v>39.58</v>
      </c>
      <c r="Q43" s="1">
        <f t="shared" si="7"/>
        <v>39.14</v>
      </c>
    </row>
    <row r="44" spans="1:17" ht="33.75" customHeight="1">
      <c r="A44" s="4" t="s">
        <v>59</v>
      </c>
      <c r="B44" s="3" t="s">
        <v>294</v>
      </c>
      <c r="C44" s="12">
        <f t="shared" si="0"/>
        <v>89.93</v>
      </c>
      <c r="D44" s="12">
        <v>43.95</v>
      </c>
      <c r="E44" s="12">
        <v>45.98</v>
      </c>
      <c r="F44" s="12">
        <f>G44+H44</f>
        <v>90.93</v>
      </c>
      <c r="G44" s="12">
        <f>D44</f>
        <v>43.95</v>
      </c>
      <c r="H44" s="12">
        <v>46.98</v>
      </c>
      <c r="I44" s="14">
        <f t="shared" si="1"/>
        <v>90.93</v>
      </c>
      <c r="J44" s="14">
        <f t="shared" si="2"/>
        <v>43.95</v>
      </c>
      <c r="K44" s="14">
        <f t="shared" si="3"/>
        <v>46.98</v>
      </c>
      <c r="L44" s="14">
        <f t="shared" si="4"/>
        <v>0</v>
      </c>
      <c r="M44" s="14"/>
      <c r="N44" s="14"/>
      <c r="O44" s="1">
        <f t="shared" si="5"/>
        <v>90.93</v>
      </c>
      <c r="P44" s="1">
        <f t="shared" si="6"/>
        <v>43.95</v>
      </c>
      <c r="Q44" s="1">
        <f t="shared" si="7"/>
        <v>46.98</v>
      </c>
    </row>
    <row r="45" spans="1:17" ht="34.5" customHeight="1">
      <c r="A45" s="4" t="s">
        <v>60</v>
      </c>
      <c r="B45" s="3" t="s">
        <v>202</v>
      </c>
      <c r="C45" s="12">
        <f t="shared" si="0"/>
        <v>85.41</v>
      </c>
      <c r="D45" s="12">
        <v>41.06</v>
      </c>
      <c r="E45" s="12">
        <v>44.35</v>
      </c>
      <c r="F45" s="12">
        <v>0</v>
      </c>
      <c r="G45" s="12">
        <v>0</v>
      </c>
      <c r="H45" s="12">
        <v>0</v>
      </c>
      <c r="I45" s="14">
        <f t="shared" si="1"/>
        <v>85.41</v>
      </c>
      <c r="J45" s="14">
        <f t="shared" si="2"/>
        <v>41.06</v>
      </c>
      <c r="K45" s="14">
        <f t="shared" si="3"/>
        <v>44.35</v>
      </c>
      <c r="L45" s="14">
        <f t="shared" si="4"/>
        <v>3.52</v>
      </c>
      <c r="M45" s="14"/>
      <c r="N45" s="14">
        <v>3.52</v>
      </c>
      <c r="O45" s="1">
        <f t="shared" si="5"/>
        <v>88.93</v>
      </c>
      <c r="P45" s="1">
        <f t="shared" si="6"/>
        <v>41.06</v>
      </c>
      <c r="Q45" s="1">
        <f t="shared" si="7"/>
        <v>47.870000000000005</v>
      </c>
    </row>
    <row r="46" spans="1:17" ht="33" customHeight="1">
      <c r="A46" s="4" t="s">
        <v>61</v>
      </c>
      <c r="B46" s="3" t="s">
        <v>203</v>
      </c>
      <c r="C46" s="12">
        <f t="shared" si="0"/>
        <v>107.85</v>
      </c>
      <c r="D46" s="12">
        <v>58.85</v>
      </c>
      <c r="E46" s="12">
        <v>49</v>
      </c>
      <c r="F46" s="12">
        <v>0</v>
      </c>
      <c r="G46" s="12">
        <v>0</v>
      </c>
      <c r="H46" s="12">
        <v>0</v>
      </c>
      <c r="I46" s="14">
        <f t="shared" si="1"/>
        <v>107.85</v>
      </c>
      <c r="J46" s="14">
        <f t="shared" si="2"/>
        <v>58.85</v>
      </c>
      <c r="K46" s="14">
        <f t="shared" si="3"/>
        <v>49</v>
      </c>
      <c r="L46" s="14">
        <f t="shared" si="4"/>
        <v>7.04</v>
      </c>
      <c r="M46" s="14"/>
      <c r="N46" s="14">
        <v>7.04</v>
      </c>
      <c r="O46" s="1">
        <f t="shared" si="5"/>
        <v>114.89</v>
      </c>
      <c r="P46" s="1">
        <f t="shared" si="6"/>
        <v>58.85</v>
      </c>
      <c r="Q46" s="1">
        <f t="shared" si="7"/>
        <v>56.04</v>
      </c>
    </row>
    <row r="47" spans="1:17" ht="32.25" customHeight="1">
      <c r="A47" s="4" t="s">
        <v>62</v>
      </c>
      <c r="B47" s="3" t="s">
        <v>204</v>
      </c>
      <c r="C47" s="12">
        <f t="shared" si="0"/>
        <v>128.74</v>
      </c>
      <c r="D47" s="12">
        <v>71.7</v>
      </c>
      <c r="E47" s="12">
        <v>57.04</v>
      </c>
      <c r="F47" s="12">
        <v>0</v>
      </c>
      <c r="G47" s="12">
        <v>0</v>
      </c>
      <c r="H47" s="12">
        <v>0</v>
      </c>
      <c r="I47" s="14">
        <f t="shared" si="1"/>
        <v>128.74</v>
      </c>
      <c r="J47" s="14">
        <f t="shared" si="2"/>
        <v>71.7</v>
      </c>
      <c r="K47" s="14">
        <f t="shared" si="3"/>
        <v>57.04</v>
      </c>
      <c r="L47" s="14">
        <f t="shared" si="4"/>
        <v>4.4</v>
      </c>
      <c r="M47" s="14"/>
      <c r="N47" s="14">
        <v>4.4</v>
      </c>
      <c r="O47" s="1">
        <f t="shared" si="5"/>
        <v>133.14</v>
      </c>
      <c r="P47" s="1">
        <f t="shared" si="6"/>
        <v>71.7</v>
      </c>
      <c r="Q47" s="1">
        <f t="shared" si="7"/>
        <v>61.44</v>
      </c>
    </row>
    <row r="48" spans="1:17" ht="34.5" customHeight="1">
      <c r="A48" s="4" t="s">
        <v>63</v>
      </c>
      <c r="B48" s="3" t="s">
        <v>205</v>
      </c>
      <c r="C48" s="12">
        <f t="shared" si="0"/>
        <v>70.25999999999999</v>
      </c>
      <c r="D48" s="12">
        <v>33.26</v>
      </c>
      <c r="E48" s="12">
        <v>37</v>
      </c>
      <c r="F48" s="12">
        <v>0</v>
      </c>
      <c r="G48" s="12">
        <v>0</v>
      </c>
      <c r="H48" s="12">
        <v>0</v>
      </c>
      <c r="I48" s="14">
        <f t="shared" si="1"/>
        <v>70.25999999999999</v>
      </c>
      <c r="J48" s="14">
        <f t="shared" si="2"/>
        <v>33.26</v>
      </c>
      <c r="K48" s="14">
        <f t="shared" si="3"/>
        <v>37</v>
      </c>
      <c r="L48" s="14">
        <f t="shared" si="4"/>
        <v>2</v>
      </c>
      <c r="M48" s="14"/>
      <c r="N48" s="14">
        <v>2</v>
      </c>
      <c r="O48" s="1">
        <f t="shared" si="5"/>
        <v>72.25999999999999</v>
      </c>
      <c r="P48" s="1">
        <f t="shared" si="6"/>
        <v>33.26</v>
      </c>
      <c r="Q48" s="1">
        <f t="shared" si="7"/>
        <v>39</v>
      </c>
    </row>
    <row r="49" spans="1:17" ht="39" customHeight="1">
      <c r="A49" s="4" t="s">
        <v>64</v>
      </c>
      <c r="B49" s="3" t="s">
        <v>206</v>
      </c>
      <c r="C49" s="12">
        <f t="shared" si="0"/>
        <v>64.28</v>
      </c>
      <c r="D49" s="12">
        <v>33.88</v>
      </c>
      <c r="E49" s="12">
        <v>30.4</v>
      </c>
      <c r="F49" s="12">
        <v>0</v>
      </c>
      <c r="G49" s="12">
        <v>0</v>
      </c>
      <c r="H49" s="12">
        <v>0</v>
      </c>
      <c r="I49" s="14">
        <f t="shared" si="1"/>
        <v>64.28</v>
      </c>
      <c r="J49" s="14">
        <f t="shared" si="2"/>
        <v>33.88</v>
      </c>
      <c r="K49" s="14">
        <f t="shared" si="3"/>
        <v>30.4</v>
      </c>
      <c r="L49" s="14">
        <f t="shared" si="4"/>
        <v>2.5</v>
      </c>
      <c r="M49" s="14"/>
      <c r="N49" s="14">
        <v>2.5</v>
      </c>
      <c r="O49" s="1">
        <f t="shared" si="5"/>
        <v>66.78</v>
      </c>
      <c r="P49" s="1">
        <f t="shared" si="6"/>
        <v>33.88</v>
      </c>
      <c r="Q49" s="1">
        <f t="shared" si="7"/>
        <v>32.9</v>
      </c>
    </row>
    <row r="50" spans="1:17" ht="33" customHeight="1">
      <c r="A50" s="4" t="s">
        <v>65</v>
      </c>
      <c r="B50" s="3" t="s">
        <v>207</v>
      </c>
      <c r="C50" s="12">
        <f t="shared" si="0"/>
        <v>70.14</v>
      </c>
      <c r="D50" s="12">
        <v>35.39</v>
      </c>
      <c r="E50" s="12">
        <v>34.75</v>
      </c>
      <c r="F50" s="12">
        <v>0</v>
      </c>
      <c r="G50" s="12">
        <v>0</v>
      </c>
      <c r="H50" s="12">
        <v>0</v>
      </c>
      <c r="I50" s="14">
        <f t="shared" si="1"/>
        <v>70.14</v>
      </c>
      <c r="J50" s="14">
        <f t="shared" si="2"/>
        <v>35.39</v>
      </c>
      <c r="K50" s="14">
        <f t="shared" si="3"/>
        <v>34.75</v>
      </c>
      <c r="L50" s="14">
        <f t="shared" si="4"/>
        <v>2</v>
      </c>
      <c r="M50" s="14">
        <v>2</v>
      </c>
      <c r="N50" s="14"/>
      <c r="O50" s="1">
        <f t="shared" si="5"/>
        <v>72.14</v>
      </c>
      <c r="P50" s="1">
        <f t="shared" si="6"/>
        <v>37.39</v>
      </c>
      <c r="Q50" s="1">
        <f t="shared" si="7"/>
        <v>34.75</v>
      </c>
    </row>
    <row r="51" spans="1:17" ht="34.5" customHeight="1">
      <c r="A51" s="4" t="s">
        <v>66</v>
      </c>
      <c r="B51" s="3" t="s">
        <v>279</v>
      </c>
      <c r="C51" s="12">
        <f t="shared" si="0"/>
        <v>94.66</v>
      </c>
      <c r="D51" s="12">
        <v>52.82</v>
      </c>
      <c r="E51" s="12">
        <v>41.84</v>
      </c>
      <c r="F51" s="12">
        <f>G51+H51</f>
        <v>95.33000000000001</v>
      </c>
      <c r="G51" s="12">
        <v>53.49</v>
      </c>
      <c r="H51" s="12">
        <f>E51</f>
        <v>41.84</v>
      </c>
      <c r="I51" s="14">
        <f t="shared" si="1"/>
        <v>95.33000000000001</v>
      </c>
      <c r="J51" s="14">
        <f t="shared" si="2"/>
        <v>53.49</v>
      </c>
      <c r="K51" s="14">
        <f t="shared" si="3"/>
        <v>41.84</v>
      </c>
      <c r="L51" s="14">
        <f t="shared" si="4"/>
        <v>9.68</v>
      </c>
      <c r="M51" s="14"/>
      <c r="N51" s="14">
        <v>9.68</v>
      </c>
      <c r="O51" s="1">
        <f t="shared" si="5"/>
        <v>105.01</v>
      </c>
      <c r="P51" s="1">
        <f t="shared" si="6"/>
        <v>53.49</v>
      </c>
      <c r="Q51" s="1">
        <f t="shared" si="7"/>
        <v>51.52</v>
      </c>
    </row>
    <row r="52" spans="1:17" ht="35.25" customHeight="1">
      <c r="A52" s="4" t="s">
        <v>67</v>
      </c>
      <c r="B52" s="3" t="s">
        <v>208</v>
      </c>
      <c r="C52" s="12">
        <f t="shared" si="0"/>
        <v>61.32000000000001</v>
      </c>
      <c r="D52" s="12">
        <v>33.95</v>
      </c>
      <c r="E52" s="12">
        <v>27.37</v>
      </c>
      <c r="F52" s="12">
        <v>0</v>
      </c>
      <c r="G52" s="12">
        <v>0</v>
      </c>
      <c r="H52" s="12">
        <v>0</v>
      </c>
      <c r="I52" s="14">
        <f t="shared" si="1"/>
        <v>61.32000000000001</v>
      </c>
      <c r="J52" s="14">
        <f t="shared" si="2"/>
        <v>33.95</v>
      </c>
      <c r="K52" s="14">
        <f t="shared" si="3"/>
        <v>27.37</v>
      </c>
      <c r="L52" s="14">
        <f t="shared" si="4"/>
        <v>1</v>
      </c>
      <c r="M52" s="14">
        <v>0.5</v>
      </c>
      <c r="N52" s="14">
        <v>0.5</v>
      </c>
      <c r="O52" s="1">
        <f t="shared" si="5"/>
        <v>62.32000000000001</v>
      </c>
      <c r="P52" s="1">
        <f t="shared" si="6"/>
        <v>34.45</v>
      </c>
      <c r="Q52" s="1">
        <f t="shared" si="7"/>
        <v>27.87</v>
      </c>
    </row>
    <row r="53" spans="1:17" ht="31.5" customHeight="1">
      <c r="A53" s="4" t="s">
        <v>68</v>
      </c>
      <c r="B53" s="3" t="s">
        <v>291</v>
      </c>
      <c r="C53" s="12">
        <f t="shared" si="0"/>
        <v>145.38</v>
      </c>
      <c r="D53" s="12">
        <v>77.63</v>
      </c>
      <c r="E53" s="12">
        <v>67.75</v>
      </c>
      <c r="F53" s="12">
        <v>0</v>
      </c>
      <c r="G53" s="12">
        <v>0</v>
      </c>
      <c r="H53" s="12">
        <v>0</v>
      </c>
      <c r="I53" s="14">
        <f t="shared" si="1"/>
        <v>145.38</v>
      </c>
      <c r="J53" s="14">
        <f t="shared" si="2"/>
        <v>77.63</v>
      </c>
      <c r="K53" s="14">
        <f t="shared" si="3"/>
        <v>67.75</v>
      </c>
      <c r="L53" s="14">
        <f t="shared" si="4"/>
        <v>0</v>
      </c>
      <c r="M53" s="14"/>
      <c r="N53" s="14"/>
      <c r="O53" s="1">
        <f t="shared" si="5"/>
        <v>145.38</v>
      </c>
      <c r="P53" s="1">
        <f t="shared" si="6"/>
        <v>77.63</v>
      </c>
      <c r="Q53" s="1">
        <f t="shared" si="7"/>
        <v>67.75</v>
      </c>
    </row>
    <row r="54" spans="1:17" ht="33.75" customHeight="1">
      <c r="A54" s="4" t="s">
        <v>69</v>
      </c>
      <c r="B54" s="3" t="s">
        <v>277</v>
      </c>
      <c r="C54" s="12">
        <f t="shared" si="0"/>
        <v>93.27000000000001</v>
      </c>
      <c r="D54" s="12">
        <v>50.52</v>
      </c>
      <c r="E54" s="12">
        <v>42.75</v>
      </c>
      <c r="F54" s="12">
        <v>0</v>
      </c>
      <c r="G54" s="12">
        <v>0</v>
      </c>
      <c r="H54" s="12">
        <v>0</v>
      </c>
      <c r="I54" s="14">
        <f t="shared" si="1"/>
        <v>93.27000000000001</v>
      </c>
      <c r="J54" s="14">
        <f t="shared" si="2"/>
        <v>50.52</v>
      </c>
      <c r="K54" s="14">
        <f t="shared" si="3"/>
        <v>42.75</v>
      </c>
      <c r="L54" s="14">
        <f t="shared" si="4"/>
        <v>0</v>
      </c>
      <c r="M54" s="14"/>
      <c r="N54" s="14"/>
      <c r="O54" s="1">
        <f t="shared" si="5"/>
        <v>93.27000000000001</v>
      </c>
      <c r="P54" s="1">
        <f t="shared" si="6"/>
        <v>50.52</v>
      </c>
      <c r="Q54" s="1">
        <f t="shared" si="7"/>
        <v>42.75</v>
      </c>
    </row>
    <row r="55" spans="1:17" ht="34.5" customHeight="1">
      <c r="A55" s="4" t="s">
        <v>70</v>
      </c>
      <c r="B55" s="3" t="s">
        <v>209</v>
      </c>
      <c r="C55" s="12">
        <f t="shared" si="0"/>
        <v>82.47999999999999</v>
      </c>
      <c r="D55" s="12">
        <v>39.65</v>
      </c>
      <c r="E55" s="12">
        <v>42.83</v>
      </c>
      <c r="F55" s="12">
        <v>0</v>
      </c>
      <c r="G55" s="12">
        <v>0</v>
      </c>
      <c r="H55" s="12">
        <v>0</v>
      </c>
      <c r="I55" s="14">
        <f t="shared" si="1"/>
        <v>82.47999999999999</v>
      </c>
      <c r="J55" s="14">
        <f t="shared" si="2"/>
        <v>39.65</v>
      </c>
      <c r="K55" s="14">
        <f t="shared" si="3"/>
        <v>42.83</v>
      </c>
      <c r="L55" s="14">
        <f t="shared" si="4"/>
        <v>0</v>
      </c>
      <c r="M55" s="14"/>
      <c r="N55" s="14"/>
      <c r="O55" s="1">
        <f t="shared" si="5"/>
        <v>82.47999999999999</v>
      </c>
      <c r="P55" s="1">
        <f t="shared" si="6"/>
        <v>39.65</v>
      </c>
      <c r="Q55" s="1">
        <f t="shared" si="7"/>
        <v>42.83</v>
      </c>
    </row>
    <row r="56" spans="1:17" ht="34.5" customHeight="1">
      <c r="A56" s="4" t="s">
        <v>71</v>
      </c>
      <c r="B56" s="3" t="s">
        <v>292</v>
      </c>
      <c r="C56" s="12">
        <f t="shared" si="0"/>
        <v>127.35000000000001</v>
      </c>
      <c r="D56" s="12">
        <v>63.09</v>
      </c>
      <c r="E56" s="12">
        <v>64.26</v>
      </c>
      <c r="F56" s="12">
        <v>0</v>
      </c>
      <c r="G56" s="12">
        <v>0</v>
      </c>
      <c r="H56" s="12">
        <v>0</v>
      </c>
      <c r="I56" s="14">
        <f t="shared" si="1"/>
        <v>127.35000000000001</v>
      </c>
      <c r="J56" s="14">
        <f t="shared" si="2"/>
        <v>63.09</v>
      </c>
      <c r="K56" s="14">
        <f t="shared" si="3"/>
        <v>64.26</v>
      </c>
      <c r="L56" s="14">
        <f t="shared" si="4"/>
        <v>0</v>
      </c>
      <c r="M56" s="14"/>
      <c r="N56" s="14"/>
      <c r="O56" s="1">
        <f t="shared" si="5"/>
        <v>127.35000000000001</v>
      </c>
      <c r="P56" s="1">
        <f t="shared" si="6"/>
        <v>63.09</v>
      </c>
      <c r="Q56" s="1">
        <f t="shared" si="7"/>
        <v>64.26</v>
      </c>
    </row>
    <row r="57" spans="1:17" ht="36" customHeight="1">
      <c r="A57" s="4" t="s">
        <v>72</v>
      </c>
      <c r="B57" s="3" t="s">
        <v>210</v>
      </c>
      <c r="C57" s="12">
        <f t="shared" si="0"/>
        <v>187.95999999999998</v>
      </c>
      <c r="D57" s="12">
        <f>104.2-0.12</f>
        <v>104.08</v>
      </c>
      <c r="E57" s="12">
        <v>83.88</v>
      </c>
      <c r="F57" s="12">
        <v>0</v>
      </c>
      <c r="G57" s="12">
        <v>0</v>
      </c>
      <c r="H57" s="12">
        <v>0</v>
      </c>
      <c r="I57" s="14">
        <f t="shared" si="1"/>
        <v>187.95999999999998</v>
      </c>
      <c r="J57" s="14">
        <f t="shared" si="2"/>
        <v>104.08</v>
      </c>
      <c r="K57" s="14">
        <f t="shared" si="3"/>
        <v>83.88</v>
      </c>
      <c r="L57" s="14">
        <f t="shared" si="4"/>
        <v>6</v>
      </c>
      <c r="M57" s="14"/>
      <c r="N57" s="14">
        <v>6</v>
      </c>
      <c r="O57" s="1">
        <f t="shared" si="5"/>
        <v>193.95999999999998</v>
      </c>
      <c r="P57" s="1">
        <f t="shared" si="6"/>
        <v>104.08</v>
      </c>
      <c r="Q57" s="1">
        <f t="shared" si="7"/>
        <v>89.88</v>
      </c>
    </row>
    <row r="58" spans="1:17" ht="33.75" customHeight="1">
      <c r="A58" s="4" t="s">
        <v>73</v>
      </c>
      <c r="B58" s="3" t="s">
        <v>211</v>
      </c>
      <c r="C58" s="12">
        <f t="shared" si="0"/>
        <v>161.69</v>
      </c>
      <c r="D58" s="12">
        <v>86.44</v>
      </c>
      <c r="E58" s="12">
        <v>75.25</v>
      </c>
      <c r="F58" s="12">
        <v>0</v>
      </c>
      <c r="G58" s="12">
        <v>0</v>
      </c>
      <c r="H58" s="12">
        <v>0</v>
      </c>
      <c r="I58" s="14">
        <f t="shared" si="1"/>
        <v>161.69</v>
      </c>
      <c r="J58" s="14">
        <f t="shared" si="2"/>
        <v>86.44</v>
      </c>
      <c r="K58" s="14">
        <f t="shared" si="3"/>
        <v>75.25</v>
      </c>
      <c r="L58" s="14">
        <f t="shared" si="4"/>
        <v>5.28</v>
      </c>
      <c r="M58" s="14"/>
      <c r="N58" s="14">
        <v>5.28</v>
      </c>
      <c r="O58" s="1">
        <f t="shared" si="5"/>
        <v>166.97</v>
      </c>
      <c r="P58" s="1">
        <f t="shared" si="6"/>
        <v>86.44</v>
      </c>
      <c r="Q58" s="1">
        <f t="shared" si="7"/>
        <v>80.53</v>
      </c>
    </row>
    <row r="59" spans="1:17" ht="34.5" customHeight="1">
      <c r="A59" s="4" t="s">
        <v>74</v>
      </c>
      <c r="B59" s="3" t="s">
        <v>212</v>
      </c>
      <c r="C59" s="12">
        <f t="shared" si="0"/>
        <v>221.32</v>
      </c>
      <c r="D59" s="12">
        <v>113.94</v>
      </c>
      <c r="E59" s="12">
        <v>107.38</v>
      </c>
      <c r="F59" s="12">
        <v>0</v>
      </c>
      <c r="G59" s="12">
        <v>0</v>
      </c>
      <c r="H59" s="12">
        <v>0</v>
      </c>
      <c r="I59" s="14">
        <f t="shared" si="1"/>
        <v>221.32</v>
      </c>
      <c r="J59" s="14">
        <f t="shared" si="2"/>
        <v>113.94</v>
      </c>
      <c r="K59" s="14">
        <f t="shared" si="3"/>
        <v>107.38</v>
      </c>
      <c r="L59" s="14">
        <f t="shared" si="4"/>
        <v>4</v>
      </c>
      <c r="M59" s="14"/>
      <c r="N59" s="14">
        <v>4</v>
      </c>
      <c r="O59" s="1">
        <f t="shared" si="5"/>
        <v>225.32</v>
      </c>
      <c r="P59" s="1">
        <f t="shared" si="6"/>
        <v>113.94</v>
      </c>
      <c r="Q59" s="1">
        <f t="shared" si="7"/>
        <v>111.38</v>
      </c>
    </row>
    <row r="60" spans="1:17" ht="35.25" customHeight="1">
      <c r="A60" s="4" t="s">
        <v>75</v>
      </c>
      <c r="B60" s="3" t="s">
        <v>213</v>
      </c>
      <c r="C60" s="12">
        <f t="shared" si="0"/>
        <v>91.37</v>
      </c>
      <c r="D60" s="12">
        <v>50.25</v>
      </c>
      <c r="E60" s="12">
        <v>41.12</v>
      </c>
      <c r="F60" s="12">
        <v>0</v>
      </c>
      <c r="G60" s="12">
        <v>0</v>
      </c>
      <c r="H60" s="12">
        <v>0</v>
      </c>
      <c r="I60" s="14">
        <f t="shared" si="1"/>
        <v>91.37</v>
      </c>
      <c r="J60" s="14">
        <f t="shared" si="2"/>
        <v>50.25</v>
      </c>
      <c r="K60" s="14">
        <f t="shared" si="3"/>
        <v>41.12</v>
      </c>
      <c r="L60" s="14">
        <f t="shared" si="4"/>
        <v>4.2</v>
      </c>
      <c r="M60" s="14"/>
      <c r="N60" s="14">
        <v>4.2</v>
      </c>
      <c r="O60" s="1">
        <f t="shared" si="5"/>
        <v>95.57</v>
      </c>
      <c r="P60" s="1">
        <f t="shared" si="6"/>
        <v>50.25</v>
      </c>
      <c r="Q60" s="1">
        <f t="shared" si="7"/>
        <v>45.32</v>
      </c>
    </row>
    <row r="61" spans="1:17" ht="34.5" customHeight="1">
      <c r="A61" s="4" t="s">
        <v>76</v>
      </c>
      <c r="B61" s="3" t="s">
        <v>214</v>
      </c>
      <c r="C61" s="12">
        <f t="shared" si="0"/>
        <v>72.93</v>
      </c>
      <c r="D61" s="12">
        <v>37.8</v>
      </c>
      <c r="E61" s="12">
        <v>35.13</v>
      </c>
      <c r="F61" s="12">
        <v>0</v>
      </c>
      <c r="G61" s="12">
        <v>0</v>
      </c>
      <c r="H61" s="12">
        <v>0</v>
      </c>
      <c r="I61" s="14">
        <f t="shared" si="1"/>
        <v>72.93</v>
      </c>
      <c r="J61" s="14">
        <f t="shared" si="2"/>
        <v>37.8</v>
      </c>
      <c r="K61" s="14">
        <f t="shared" si="3"/>
        <v>35.13</v>
      </c>
      <c r="L61" s="14">
        <f t="shared" si="4"/>
        <v>0</v>
      </c>
      <c r="M61" s="14"/>
      <c r="N61" s="14"/>
      <c r="O61" s="1">
        <f t="shared" si="5"/>
        <v>72.93</v>
      </c>
      <c r="P61" s="1">
        <f t="shared" si="6"/>
        <v>37.8</v>
      </c>
      <c r="Q61" s="1">
        <f t="shared" si="7"/>
        <v>35.13</v>
      </c>
    </row>
    <row r="62" spans="1:17" ht="36" customHeight="1">
      <c r="A62" s="4" t="s">
        <v>77</v>
      </c>
      <c r="B62" s="3" t="s">
        <v>215</v>
      </c>
      <c r="C62" s="12">
        <f t="shared" si="0"/>
        <v>86.41</v>
      </c>
      <c r="D62" s="12">
        <v>42.3</v>
      </c>
      <c r="E62" s="12">
        <v>44.11</v>
      </c>
      <c r="F62" s="12">
        <v>0</v>
      </c>
      <c r="G62" s="12">
        <v>0</v>
      </c>
      <c r="H62" s="12">
        <v>0</v>
      </c>
      <c r="I62" s="14">
        <f t="shared" si="1"/>
        <v>86.41</v>
      </c>
      <c r="J62" s="14">
        <f t="shared" si="2"/>
        <v>42.3</v>
      </c>
      <c r="K62" s="14">
        <f t="shared" si="3"/>
        <v>44.11</v>
      </c>
      <c r="L62" s="14">
        <f t="shared" si="4"/>
        <v>5.28</v>
      </c>
      <c r="M62" s="14"/>
      <c r="N62" s="14">
        <v>5.28</v>
      </c>
      <c r="O62" s="1">
        <f t="shared" si="5"/>
        <v>91.69</v>
      </c>
      <c r="P62" s="1">
        <f t="shared" si="6"/>
        <v>42.3</v>
      </c>
      <c r="Q62" s="1">
        <f t="shared" si="7"/>
        <v>49.39</v>
      </c>
    </row>
    <row r="63" spans="1:17" ht="30.75" customHeight="1">
      <c r="A63" s="4" t="s">
        <v>78</v>
      </c>
      <c r="B63" s="3" t="s">
        <v>216</v>
      </c>
      <c r="C63" s="12">
        <f t="shared" si="0"/>
        <v>109.08</v>
      </c>
      <c r="D63" s="12">
        <v>53.58</v>
      </c>
      <c r="E63" s="12">
        <v>55.5</v>
      </c>
      <c r="F63" s="12">
        <v>0</v>
      </c>
      <c r="G63" s="12">
        <v>0</v>
      </c>
      <c r="H63" s="12">
        <v>0</v>
      </c>
      <c r="I63" s="14">
        <f t="shared" si="1"/>
        <v>109.08</v>
      </c>
      <c r="J63" s="14">
        <f t="shared" si="2"/>
        <v>53.58</v>
      </c>
      <c r="K63" s="14">
        <f t="shared" si="3"/>
        <v>55.5</v>
      </c>
      <c r="L63" s="14">
        <f t="shared" si="4"/>
        <v>1.2</v>
      </c>
      <c r="M63" s="14"/>
      <c r="N63" s="14">
        <v>1.2</v>
      </c>
      <c r="O63" s="1">
        <f t="shared" si="5"/>
        <v>110.28</v>
      </c>
      <c r="P63" s="1">
        <f t="shared" si="6"/>
        <v>53.58</v>
      </c>
      <c r="Q63" s="1">
        <f t="shared" si="7"/>
        <v>56.7</v>
      </c>
    </row>
    <row r="64" spans="1:17" ht="38.25" customHeight="1">
      <c r="A64" s="4" t="s">
        <v>79</v>
      </c>
      <c r="B64" s="3" t="s">
        <v>217</v>
      </c>
      <c r="C64" s="12">
        <f t="shared" si="0"/>
        <v>128.5</v>
      </c>
      <c r="D64" s="12">
        <v>67.52</v>
      </c>
      <c r="E64" s="12">
        <v>60.98</v>
      </c>
      <c r="F64" s="12">
        <v>0</v>
      </c>
      <c r="G64" s="12">
        <v>0</v>
      </c>
      <c r="H64" s="12">
        <v>0</v>
      </c>
      <c r="I64" s="14">
        <f t="shared" si="1"/>
        <v>128.5</v>
      </c>
      <c r="J64" s="14">
        <f t="shared" si="2"/>
        <v>67.52</v>
      </c>
      <c r="K64" s="14">
        <f t="shared" si="3"/>
        <v>60.98</v>
      </c>
      <c r="L64" s="14">
        <f t="shared" si="4"/>
        <v>2</v>
      </c>
      <c r="M64" s="14"/>
      <c r="N64" s="14">
        <v>2</v>
      </c>
      <c r="O64" s="1">
        <f t="shared" si="5"/>
        <v>130.5</v>
      </c>
      <c r="P64" s="1">
        <f t="shared" si="6"/>
        <v>67.52</v>
      </c>
      <c r="Q64" s="1">
        <f t="shared" si="7"/>
        <v>62.98</v>
      </c>
    </row>
    <row r="65" spans="1:17" ht="31.5" customHeight="1">
      <c r="A65" s="4" t="s">
        <v>80</v>
      </c>
      <c r="B65" s="3" t="s">
        <v>280</v>
      </c>
      <c r="C65" s="12">
        <f t="shared" si="0"/>
        <v>123.46000000000001</v>
      </c>
      <c r="D65" s="12">
        <v>66.67</v>
      </c>
      <c r="E65" s="12">
        <v>56.79</v>
      </c>
      <c r="F65" s="12">
        <v>0</v>
      </c>
      <c r="G65" s="12">
        <v>0</v>
      </c>
      <c r="H65" s="12">
        <v>0</v>
      </c>
      <c r="I65" s="14">
        <f t="shared" si="1"/>
        <v>123.46000000000001</v>
      </c>
      <c r="J65" s="14">
        <f t="shared" si="2"/>
        <v>66.67</v>
      </c>
      <c r="K65" s="14">
        <f t="shared" si="3"/>
        <v>56.79</v>
      </c>
      <c r="L65" s="14">
        <f t="shared" si="4"/>
        <v>0</v>
      </c>
      <c r="M65" s="14"/>
      <c r="N65" s="14"/>
      <c r="O65" s="1">
        <f t="shared" si="5"/>
        <v>123.46000000000001</v>
      </c>
      <c r="P65" s="1">
        <f t="shared" si="6"/>
        <v>66.67</v>
      </c>
      <c r="Q65" s="1">
        <f t="shared" si="7"/>
        <v>56.79</v>
      </c>
    </row>
    <row r="66" spans="1:17" ht="39.75" customHeight="1">
      <c r="A66" s="4" t="s">
        <v>81</v>
      </c>
      <c r="B66" s="3" t="s">
        <v>218</v>
      </c>
      <c r="C66" s="12">
        <f t="shared" si="0"/>
        <v>118</v>
      </c>
      <c r="D66" s="12">
        <v>54.01</v>
      </c>
      <c r="E66" s="12">
        <v>63.99</v>
      </c>
      <c r="F66" s="12">
        <v>0</v>
      </c>
      <c r="G66" s="12">
        <v>0</v>
      </c>
      <c r="H66" s="12">
        <v>0</v>
      </c>
      <c r="I66" s="14">
        <f t="shared" si="1"/>
        <v>118</v>
      </c>
      <c r="J66" s="14">
        <f t="shared" si="2"/>
        <v>54.01</v>
      </c>
      <c r="K66" s="14">
        <f t="shared" si="3"/>
        <v>63.99</v>
      </c>
      <c r="L66" s="14">
        <f t="shared" si="4"/>
        <v>0</v>
      </c>
      <c r="M66" s="14"/>
      <c r="N66" s="14"/>
      <c r="O66" s="1">
        <f t="shared" si="5"/>
        <v>118</v>
      </c>
      <c r="P66" s="1">
        <f t="shared" si="6"/>
        <v>54.01</v>
      </c>
      <c r="Q66" s="1">
        <f t="shared" si="7"/>
        <v>63.99</v>
      </c>
    </row>
    <row r="67" spans="1:17" ht="27">
      <c r="A67" s="4" t="s">
        <v>82</v>
      </c>
      <c r="B67" s="3" t="s">
        <v>219</v>
      </c>
      <c r="C67" s="12">
        <f t="shared" si="0"/>
        <v>133.19</v>
      </c>
      <c r="D67" s="12">
        <v>69.71</v>
      </c>
      <c r="E67" s="12">
        <v>63.48</v>
      </c>
      <c r="F67" s="12">
        <v>0</v>
      </c>
      <c r="G67" s="12">
        <v>0</v>
      </c>
      <c r="H67" s="12">
        <v>0</v>
      </c>
      <c r="I67" s="14">
        <f t="shared" si="1"/>
        <v>133.19</v>
      </c>
      <c r="J67" s="14">
        <f t="shared" si="2"/>
        <v>69.71</v>
      </c>
      <c r="K67" s="14">
        <f t="shared" si="3"/>
        <v>63.48</v>
      </c>
      <c r="L67" s="14">
        <f t="shared" si="4"/>
        <v>0.02</v>
      </c>
      <c r="M67" s="14"/>
      <c r="N67" s="14">
        <v>0.02</v>
      </c>
      <c r="O67" s="1">
        <f t="shared" si="5"/>
        <v>133.20999999999998</v>
      </c>
      <c r="P67" s="1">
        <f t="shared" si="6"/>
        <v>69.71</v>
      </c>
      <c r="Q67" s="1">
        <f t="shared" si="7"/>
        <v>63.5</v>
      </c>
    </row>
    <row r="68" spans="1:17" ht="46.5" customHeight="1">
      <c r="A68" s="4" t="s">
        <v>83</v>
      </c>
      <c r="B68" s="3" t="s">
        <v>293</v>
      </c>
      <c r="C68" s="12">
        <f t="shared" si="0"/>
        <v>51.39</v>
      </c>
      <c r="D68" s="12">
        <v>29.01</v>
      </c>
      <c r="E68" s="12">
        <v>22.38</v>
      </c>
      <c r="F68" s="12">
        <v>0</v>
      </c>
      <c r="G68" s="12">
        <v>0</v>
      </c>
      <c r="H68" s="12">
        <v>0</v>
      </c>
      <c r="I68" s="14">
        <f t="shared" si="1"/>
        <v>51.39</v>
      </c>
      <c r="J68" s="14">
        <f t="shared" si="2"/>
        <v>29.01</v>
      </c>
      <c r="K68" s="14">
        <f t="shared" si="3"/>
        <v>22.38</v>
      </c>
      <c r="L68" s="14">
        <f t="shared" si="4"/>
        <v>0</v>
      </c>
      <c r="M68" s="14"/>
      <c r="N68" s="14"/>
      <c r="O68" s="1">
        <f t="shared" si="5"/>
        <v>51.39</v>
      </c>
      <c r="P68" s="1">
        <f t="shared" si="6"/>
        <v>29.01</v>
      </c>
      <c r="Q68" s="1">
        <f t="shared" si="7"/>
        <v>22.38</v>
      </c>
    </row>
    <row r="69" spans="1:17" ht="33" customHeight="1">
      <c r="A69" s="4" t="s">
        <v>84</v>
      </c>
      <c r="B69" s="3" t="s">
        <v>220</v>
      </c>
      <c r="C69" s="12">
        <f t="shared" si="0"/>
        <v>81.21000000000001</v>
      </c>
      <c r="D69" s="12">
        <v>40.46</v>
      </c>
      <c r="E69" s="12">
        <v>40.75</v>
      </c>
      <c r="F69" s="12">
        <v>0</v>
      </c>
      <c r="G69" s="12">
        <v>0</v>
      </c>
      <c r="H69" s="12">
        <v>0</v>
      </c>
      <c r="I69" s="14">
        <f t="shared" si="1"/>
        <v>81.21000000000001</v>
      </c>
      <c r="J69" s="14">
        <f t="shared" si="2"/>
        <v>40.46</v>
      </c>
      <c r="K69" s="14">
        <f t="shared" si="3"/>
        <v>40.75</v>
      </c>
      <c r="L69" s="14">
        <f t="shared" si="4"/>
        <v>3.5</v>
      </c>
      <c r="M69" s="14"/>
      <c r="N69" s="14">
        <v>3.5</v>
      </c>
      <c r="O69" s="1">
        <f t="shared" si="5"/>
        <v>84.71000000000001</v>
      </c>
      <c r="P69" s="1">
        <f t="shared" si="6"/>
        <v>40.46</v>
      </c>
      <c r="Q69" s="1">
        <f t="shared" si="7"/>
        <v>44.25</v>
      </c>
    </row>
    <row r="70" spans="1:17" ht="34.5" customHeight="1">
      <c r="A70" s="4" t="s">
        <v>85</v>
      </c>
      <c r="B70" s="3" t="s">
        <v>221</v>
      </c>
      <c r="C70" s="12">
        <f aca="true" t="shared" si="8" ref="C70:C133">D70+E70</f>
        <v>105.11</v>
      </c>
      <c r="D70" s="12">
        <v>59.64</v>
      </c>
      <c r="E70" s="12">
        <v>45.47</v>
      </c>
      <c r="F70" s="12">
        <v>0</v>
      </c>
      <c r="G70" s="12">
        <v>0</v>
      </c>
      <c r="H70" s="12">
        <v>0</v>
      </c>
      <c r="I70" s="14">
        <f aca="true" t="shared" si="9" ref="I70:I133">IF(F70=0,C70,F70)</f>
        <v>105.11</v>
      </c>
      <c r="J70" s="14">
        <f aca="true" t="shared" si="10" ref="J70:J133">IF(G70=0,D70,G70)</f>
        <v>59.64</v>
      </c>
      <c r="K70" s="14">
        <f aca="true" t="shared" si="11" ref="K70:K133">IF(H70=0,E70,H70)</f>
        <v>45.47</v>
      </c>
      <c r="L70" s="14">
        <f aca="true" t="shared" si="12" ref="L70:L133">M70+N70</f>
        <v>0</v>
      </c>
      <c r="M70" s="14"/>
      <c r="N70" s="14"/>
      <c r="O70" s="1">
        <f aca="true" t="shared" si="13" ref="O70:O133">P70+Q70</f>
        <v>105.11</v>
      </c>
      <c r="P70" s="1">
        <f aca="true" t="shared" si="14" ref="P70:P133">J70+M70</f>
        <v>59.64</v>
      </c>
      <c r="Q70" s="1">
        <f aca="true" t="shared" si="15" ref="Q70:Q133">K70+N70</f>
        <v>45.47</v>
      </c>
    </row>
    <row r="71" spans="1:17" ht="35.25" customHeight="1">
      <c r="A71" s="4" t="s">
        <v>86</v>
      </c>
      <c r="B71" s="3" t="s">
        <v>222</v>
      </c>
      <c r="C71" s="12">
        <f t="shared" si="8"/>
        <v>107.25</v>
      </c>
      <c r="D71" s="12">
        <f>59</f>
        <v>59</v>
      </c>
      <c r="E71" s="12">
        <v>48.25</v>
      </c>
      <c r="F71" s="12">
        <v>0</v>
      </c>
      <c r="G71" s="12">
        <v>0</v>
      </c>
      <c r="H71" s="12">
        <v>0</v>
      </c>
      <c r="I71" s="14">
        <f t="shared" si="9"/>
        <v>107.25</v>
      </c>
      <c r="J71" s="14">
        <f t="shared" si="10"/>
        <v>59</v>
      </c>
      <c r="K71" s="14">
        <f t="shared" si="11"/>
        <v>48.25</v>
      </c>
      <c r="L71" s="14">
        <f t="shared" si="12"/>
        <v>0</v>
      </c>
      <c r="M71" s="14"/>
      <c r="N71" s="14"/>
      <c r="O71" s="1">
        <f t="shared" si="13"/>
        <v>107.25</v>
      </c>
      <c r="P71" s="1">
        <f t="shared" si="14"/>
        <v>59</v>
      </c>
      <c r="Q71" s="1">
        <f t="shared" si="15"/>
        <v>48.25</v>
      </c>
    </row>
    <row r="72" spans="1:17" ht="40.5" customHeight="1">
      <c r="A72" s="4" t="s">
        <v>87</v>
      </c>
      <c r="B72" s="3" t="s">
        <v>223</v>
      </c>
      <c r="C72" s="12">
        <f t="shared" si="8"/>
        <v>30.65</v>
      </c>
      <c r="D72" s="12">
        <v>17.65</v>
      </c>
      <c r="E72" s="12">
        <v>13</v>
      </c>
      <c r="F72" s="12">
        <v>0</v>
      </c>
      <c r="G72" s="12">
        <v>0</v>
      </c>
      <c r="H72" s="12">
        <v>0</v>
      </c>
      <c r="I72" s="14">
        <f t="shared" si="9"/>
        <v>30.65</v>
      </c>
      <c r="J72" s="14">
        <f t="shared" si="10"/>
        <v>17.65</v>
      </c>
      <c r="K72" s="14">
        <f t="shared" si="11"/>
        <v>13</v>
      </c>
      <c r="L72" s="14">
        <f t="shared" si="12"/>
        <v>1.2</v>
      </c>
      <c r="M72" s="14"/>
      <c r="N72" s="14">
        <v>1.2</v>
      </c>
      <c r="O72" s="1">
        <f t="shared" si="13"/>
        <v>31.849999999999998</v>
      </c>
      <c r="P72" s="1">
        <f t="shared" si="14"/>
        <v>17.65</v>
      </c>
      <c r="Q72" s="1">
        <f t="shared" si="15"/>
        <v>14.2</v>
      </c>
    </row>
    <row r="73" spans="1:17" ht="45.75" customHeight="1">
      <c r="A73" s="4" t="s">
        <v>283</v>
      </c>
      <c r="B73" s="3" t="s">
        <v>224</v>
      </c>
      <c r="C73" s="12">
        <f t="shared" si="8"/>
        <v>104.25</v>
      </c>
      <c r="D73" s="12">
        <v>52.5</v>
      </c>
      <c r="E73" s="12">
        <v>51.75</v>
      </c>
      <c r="F73" s="12">
        <v>0</v>
      </c>
      <c r="G73" s="12">
        <v>0</v>
      </c>
      <c r="H73" s="12">
        <v>0</v>
      </c>
      <c r="I73" s="14">
        <f t="shared" si="9"/>
        <v>104.25</v>
      </c>
      <c r="J73" s="14">
        <f t="shared" si="10"/>
        <v>52.5</v>
      </c>
      <c r="K73" s="14">
        <f t="shared" si="11"/>
        <v>51.75</v>
      </c>
      <c r="L73" s="14">
        <f t="shared" si="12"/>
        <v>3.6</v>
      </c>
      <c r="M73" s="14"/>
      <c r="N73" s="14">
        <v>3.6</v>
      </c>
      <c r="O73" s="1">
        <f t="shared" si="13"/>
        <v>107.85</v>
      </c>
      <c r="P73" s="1">
        <f t="shared" si="14"/>
        <v>52.5</v>
      </c>
      <c r="Q73" s="1">
        <f t="shared" si="15"/>
        <v>55.35</v>
      </c>
    </row>
    <row r="74" spans="1:17" ht="45.75" customHeight="1">
      <c r="A74" s="4" t="s">
        <v>88</v>
      </c>
      <c r="B74" s="3" t="s">
        <v>225</v>
      </c>
      <c r="C74" s="12">
        <f t="shared" si="8"/>
        <v>138.66</v>
      </c>
      <c r="D74" s="12">
        <v>72.13</v>
      </c>
      <c r="E74" s="12">
        <v>66.53</v>
      </c>
      <c r="F74" s="12">
        <v>0</v>
      </c>
      <c r="G74" s="12">
        <v>0</v>
      </c>
      <c r="H74" s="12">
        <v>0</v>
      </c>
      <c r="I74" s="14">
        <f t="shared" si="9"/>
        <v>138.66</v>
      </c>
      <c r="J74" s="14">
        <f t="shared" si="10"/>
        <v>72.13</v>
      </c>
      <c r="K74" s="14">
        <f t="shared" si="11"/>
        <v>66.53</v>
      </c>
      <c r="L74" s="14">
        <f t="shared" si="12"/>
        <v>2.8</v>
      </c>
      <c r="M74" s="14"/>
      <c r="N74" s="14">
        <v>2.8</v>
      </c>
      <c r="O74" s="1">
        <f t="shared" si="13"/>
        <v>141.45999999999998</v>
      </c>
      <c r="P74" s="1">
        <f t="shared" si="14"/>
        <v>72.13</v>
      </c>
      <c r="Q74" s="1">
        <f t="shared" si="15"/>
        <v>69.33</v>
      </c>
    </row>
    <row r="75" spans="1:17" ht="48.75" customHeight="1">
      <c r="A75" s="4" t="s">
        <v>89</v>
      </c>
      <c r="B75" s="3" t="s">
        <v>226</v>
      </c>
      <c r="C75" s="12">
        <f t="shared" si="8"/>
        <v>47.2</v>
      </c>
      <c r="D75" s="12">
        <v>25.62</v>
      </c>
      <c r="E75" s="12">
        <v>21.58</v>
      </c>
      <c r="F75" s="12">
        <v>0</v>
      </c>
      <c r="G75" s="12">
        <v>0</v>
      </c>
      <c r="H75" s="12">
        <v>0</v>
      </c>
      <c r="I75" s="14">
        <f t="shared" si="9"/>
        <v>47.2</v>
      </c>
      <c r="J75" s="14">
        <f t="shared" si="10"/>
        <v>25.62</v>
      </c>
      <c r="K75" s="14">
        <f t="shared" si="11"/>
        <v>21.58</v>
      </c>
      <c r="L75" s="14">
        <f t="shared" si="12"/>
        <v>0</v>
      </c>
      <c r="M75" s="14"/>
      <c r="N75" s="14"/>
      <c r="O75" s="1">
        <f t="shared" si="13"/>
        <v>47.2</v>
      </c>
      <c r="P75" s="1">
        <f t="shared" si="14"/>
        <v>25.62</v>
      </c>
      <c r="Q75" s="1">
        <f t="shared" si="15"/>
        <v>21.58</v>
      </c>
    </row>
    <row r="76" spans="1:20" ht="34.5" customHeight="1">
      <c r="A76" s="4" t="s">
        <v>90</v>
      </c>
      <c r="B76" s="3" t="s">
        <v>14</v>
      </c>
      <c r="C76" s="12">
        <f t="shared" si="8"/>
        <v>151.1</v>
      </c>
      <c r="D76" s="12">
        <v>0.6</v>
      </c>
      <c r="E76" s="12">
        <v>150.5</v>
      </c>
      <c r="F76" s="12">
        <v>0</v>
      </c>
      <c r="G76" s="12">
        <v>0</v>
      </c>
      <c r="H76" s="12">
        <v>0</v>
      </c>
      <c r="I76" s="14">
        <f t="shared" si="9"/>
        <v>151.1</v>
      </c>
      <c r="J76" s="14">
        <f t="shared" si="10"/>
        <v>0.6</v>
      </c>
      <c r="K76" s="14">
        <f t="shared" si="11"/>
        <v>150.5</v>
      </c>
      <c r="L76" s="14">
        <f t="shared" si="12"/>
        <v>4.6</v>
      </c>
      <c r="M76" s="14">
        <v>-0.6</v>
      </c>
      <c r="N76" s="14">
        <f>4.6+0.6</f>
        <v>5.199999999999999</v>
      </c>
      <c r="O76" s="16">
        <f t="shared" si="13"/>
        <v>155.7</v>
      </c>
      <c r="P76" s="1">
        <f t="shared" si="14"/>
        <v>0</v>
      </c>
      <c r="Q76" s="1">
        <f t="shared" si="15"/>
        <v>155.7</v>
      </c>
      <c r="R76" s="1">
        <f>IF(O76=I76,0,O76)</f>
        <v>155.7</v>
      </c>
      <c r="S76" s="1">
        <f>IF(P76=J76,0,P76)</f>
        <v>0</v>
      </c>
      <c r="T76" s="1">
        <f>IF(Q76=K76,0,Q76)</f>
        <v>155.7</v>
      </c>
    </row>
    <row r="77" spans="1:20" ht="30.75" customHeight="1">
      <c r="A77" s="4" t="s">
        <v>91</v>
      </c>
      <c r="B77" s="3" t="s">
        <v>234</v>
      </c>
      <c r="C77" s="12">
        <f t="shared" si="8"/>
        <v>56.87</v>
      </c>
      <c r="D77" s="12">
        <v>0</v>
      </c>
      <c r="E77" s="12">
        <v>56.87</v>
      </c>
      <c r="F77" s="12">
        <v>0</v>
      </c>
      <c r="G77" s="12">
        <v>0</v>
      </c>
      <c r="H77" s="12">
        <v>0</v>
      </c>
      <c r="I77" s="14">
        <f t="shared" si="9"/>
        <v>56.87</v>
      </c>
      <c r="J77" s="14">
        <f t="shared" si="10"/>
        <v>0</v>
      </c>
      <c r="K77" s="14">
        <f t="shared" si="11"/>
        <v>56.87</v>
      </c>
      <c r="L77" s="14">
        <f t="shared" si="12"/>
        <v>0</v>
      </c>
      <c r="M77" s="14"/>
      <c r="N77" s="14"/>
      <c r="O77" s="2">
        <f t="shared" si="13"/>
        <v>56.87</v>
      </c>
      <c r="P77" s="1">
        <f t="shared" si="14"/>
        <v>0</v>
      </c>
      <c r="Q77" s="1">
        <f t="shared" si="15"/>
        <v>56.87</v>
      </c>
      <c r="R77" s="1">
        <f aca="true" t="shared" si="16" ref="R77:R140">IF(O77=I77,0,O77)</f>
        <v>0</v>
      </c>
      <c r="S77" s="1">
        <f aca="true" t="shared" si="17" ref="S77:S140">IF(P77=J77,0,P77)</f>
        <v>0</v>
      </c>
      <c r="T77" s="1">
        <f aca="true" t="shared" si="18" ref="T77:T140">IF(Q77=K77,0,Q77)</f>
        <v>0</v>
      </c>
    </row>
    <row r="78" spans="1:20" ht="34.5" customHeight="1">
      <c r="A78" s="4" t="s">
        <v>92</v>
      </c>
      <c r="B78" s="3" t="s">
        <v>15</v>
      </c>
      <c r="C78" s="12">
        <f t="shared" si="8"/>
        <v>74.18</v>
      </c>
      <c r="D78" s="12">
        <v>3.17</v>
      </c>
      <c r="E78" s="12">
        <f>71.43-0.42</f>
        <v>71.01</v>
      </c>
      <c r="F78" s="12">
        <v>0</v>
      </c>
      <c r="G78" s="12">
        <v>0</v>
      </c>
      <c r="H78" s="12">
        <v>0</v>
      </c>
      <c r="I78" s="14">
        <f t="shared" si="9"/>
        <v>74.18</v>
      </c>
      <c r="J78" s="14">
        <f t="shared" si="10"/>
        <v>3.17</v>
      </c>
      <c r="K78" s="14">
        <f t="shared" si="11"/>
        <v>71.01</v>
      </c>
      <c r="L78" s="14">
        <f t="shared" si="12"/>
        <v>1.92</v>
      </c>
      <c r="M78" s="14">
        <v>-3.17</v>
      </c>
      <c r="N78" s="14">
        <f>1.92+3.17</f>
        <v>5.09</v>
      </c>
      <c r="O78" s="16">
        <f t="shared" si="13"/>
        <v>76.10000000000001</v>
      </c>
      <c r="P78" s="1">
        <f t="shared" si="14"/>
        <v>0</v>
      </c>
      <c r="Q78" s="1">
        <f t="shared" si="15"/>
        <v>76.10000000000001</v>
      </c>
      <c r="R78" s="1">
        <f t="shared" si="16"/>
        <v>76.10000000000001</v>
      </c>
      <c r="S78" s="1">
        <f t="shared" si="17"/>
        <v>0</v>
      </c>
      <c r="T78" s="1">
        <f t="shared" si="18"/>
        <v>76.10000000000001</v>
      </c>
    </row>
    <row r="79" spans="1:20" ht="35.25" customHeight="1">
      <c r="A79" s="4" t="s">
        <v>93</v>
      </c>
      <c r="B79" s="3" t="s">
        <v>20</v>
      </c>
      <c r="C79" s="12">
        <f t="shared" si="8"/>
        <v>39.19</v>
      </c>
      <c r="D79" s="12">
        <v>0</v>
      </c>
      <c r="E79" s="12">
        <v>39.19</v>
      </c>
      <c r="F79" s="12">
        <v>0</v>
      </c>
      <c r="G79" s="12">
        <v>0</v>
      </c>
      <c r="H79" s="12">
        <v>0</v>
      </c>
      <c r="I79" s="14">
        <f t="shared" si="9"/>
        <v>39.19</v>
      </c>
      <c r="J79" s="14">
        <f t="shared" si="10"/>
        <v>0</v>
      </c>
      <c r="K79" s="14">
        <f t="shared" si="11"/>
        <v>39.19</v>
      </c>
      <c r="L79" s="14">
        <f t="shared" si="12"/>
        <v>3</v>
      </c>
      <c r="M79" s="14"/>
      <c r="N79" s="14">
        <v>3</v>
      </c>
      <c r="O79" s="9">
        <f t="shared" si="13"/>
        <v>42.19</v>
      </c>
      <c r="P79" s="1">
        <f t="shared" si="14"/>
        <v>0</v>
      </c>
      <c r="Q79" s="1">
        <f t="shared" si="15"/>
        <v>42.19</v>
      </c>
      <c r="R79" s="1">
        <f t="shared" si="16"/>
        <v>42.19</v>
      </c>
      <c r="S79" s="1">
        <f t="shared" si="17"/>
        <v>0</v>
      </c>
      <c r="T79" s="1">
        <f t="shared" si="18"/>
        <v>42.19</v>
      </c>
    </row>
    <row r="80" spans="1:20" ht="30.75" customHeight="1">
      <c r="A80" s="4" t="s">
        <v>94</v>
      </c>
      <c r="B80" s="3" t="s">
        <v>21</v>
      </c>
      <c r="C80" s="12">
        <f t="shared" si="8"/>
        <v>83.92</v>
      </c>
      <c r="D80" s="12">
        <v>1</v>
      </c>
      <c r="E80" s="12">
        <v>82.92</v>
      </c>
      <c r="F80" s="12">
        <v>0</v>
      </c>
      <c r="G80" s="12">
        <v>0</v>
      </c>
      <c r="H80" s="12">
        <v>0</v>
      </c>
      <c r="I80" s="14">
        <f t="shared" si="9"/>
        <v>83.92</v>
      </c>
      <c r="J80" s="14">
        <f t="shared" si="10"/>
        <v>1</v>
      </c>
      <c r="K80" s="14">
        <f t="shared" si="11"/>
        <v>82.92</v>
      </c>
      <c r="L80" s="14">
        <f t="shared" si="12"/>
        <v>0</v>
      </c>
      <c r="M80" s="14">
        <v>-1</v>
      </c>
      <c r="N80" s="14">
        <v>1</v>
      </c>
      <c r="O80" s="16">
        <f t="shared" si="13"/>
        <v>83.92</v>
      </c>
      <c r="P80" s="1">
        <f t="shared" si="14"/>
        <v>0</v>
      </c>
      <c r="Q80" s="1">
        <f t="shared" si="15"/>
        <v>83.92</v>
      </c>
      <c r="R80" s="1">
        <f t="shared" si="16"/>
        <v>0</v>
      </c>
      <c r="S80" s="1">
        <f t="shared" si="17"/>
        <v>0</v>
      </c>
      <c r="T80" s="1">
        <f t="shared" si="18"/>
        <v>83.92</v>
      </c>
    </row>
    <row r="81" spans="1:20" ht="38.25" customHeight="1">
      <c r="A81" s="4" t="s">
        <v>95</v>
      </c>
      <c r="B81" s="3" t="s">
        <v>323</v>
      </c>
      <c r="C81" s="12">
        <f t="shared" si="8"/>
        <v>206.22</v>
      </c>
      <c r="D81" s="12">
        <v>3.39</v>
      </c>
      <c r="E81" s="12">
        <v>202.83</v>
      </c>
      <c r="F81" s="12">
        <v>0</v>
      </c>
      <c r="G81" s="12">
        <v>0</v>
      </c>
      <c r="H81" s="12">
        <v>0</v>
      </c>
      <c r="I81" s="14">
        <f t="shared" si="9"/>
        <v>206.22</v>
      </c>
      <c r="J81" s="14">
        <f t="shared" si="10"/>
        <v>3.39</v>
      </c>
      <c r="K81" s="14">
        <f t="shared" si="11"/>
        <v>202.83</v>
      </c>
      <c r="L81" s="14">
        <f t="shared" si="12"/>
        <v>0</v>
      </c>
      <c r="M81" s="14">
        <v>-3.39</v>
      </c>
      <c r="N81" s="14">
        <v>3.39</v>
      </c>
      <c r="O81" s="16">
        <f t="shared" si="13"/>
        <v>206.22</v>
      </c>
      <c r="P81" s="1">
        <f t="shared" si="14"/>
        <v>0</v>
      </c>
      <c r="Q81" s="1">
        <f t="shared" si="15"/>
        <v>206.22</v>
      </c>
      <c r="R81" s="1">
        <f t="shared" si="16"/>
        <v>0</v>
      </c>
      <c r="S81" s="1">
        <f t="shared" si="17"/>
        <v>0</v>
      </c>
      <c r="T81" s="1">
        <f t="shared" si="18"/>
        <v>206.22</v>
      </c>
    </row>
    <row r="82" spans="1:20" ht="35.25" customHeight="1">
      <c r="A82" s="4" t="s">
        <v>96</v>
      </c>
      <c r="B82" s="3" t="s">
        <v>227</v>
      </c>
      <c r="C82" s="12">
        <f t="shared" si="8"/>
        <v>79.53</v>
      </c>
      <c r="D82" s="12">
        <v>1</v>
      </c>
      <c r="E82" s="12">
        <f>79.39-0.86</f>
        <v>78.53</v>
      </c>
      <c r="F82" s="12">
        <v>0</v>
      </c>
      <c r="G82" s="12">
        <v>0</v>
      </c>
      <c r="H82" s="12">
        <v>0</v>
      </c>
      <c r="I82" s="14">
        <f t="shared" si="9"/>
        <v>79.53</v>
      </c>
      <c r="J82" s="14">
        <f t="shared" si="10"/>
        <v>1</v>
      </c>
      <c r="K82" s="14">
        <f t="shared" si="11"/>
        <v>78.53</v>
      </c>
      <c r="L82" s="14">
        <f t="shared" si="12"/>
        <v>0</v>
      </c>
      <c r="M82" s="14">
        <v>-1</v>
      </c>
      <c r="N82" s="14">
        <v>1</v>
      </c>
      <c r="O82" s="16">
        <f t="shared" si="13"/>
        <v>79.53</v>
      </c>
      <c r="P82" s="1">
        <f t="shared" si="14"/>
        <v>0</v>
      </c>
      <c r="Q82" s="1">
        <f t="shared" si="15"/>
        <v>79.53</v>
      </c>
      <c r="R82" s="1">
        <f t="shared" si="16"/>
        <v>0</v>
      </c>
      <c r="S82" s="1">
        <f t="shared" si="17"/>
        <v>0</v>
      </c>
      <c r="T82" s="1">
        <f t="shared" si="18"/>
        <v>79.53</v>
      </c>
    </row>
    <row r="83" spans="1:20" ht="35.25" customHeight="1">
      <c r="A83" s="4" t="s">
        <v>97</v>
      </c>
      <c r="B83" s="3" t="s">
        <v>255</v>
      </c>
      <c r="C83" s="12">
        <f t="shared" si="8"/>
        <v>82.58</v>
      </c>
      <c r="D83" s="12">
        <v>0</v>
      </c>
      <c r="E83" s="12">
        <v>82.58</v>
      </c>
      <c r="F83" s="12">
        <v>0</v>
      </c>
      <c r="G83" s="12">
        <v>0</v>
      </c>
      <c r="H83" s="12">
        <v>0</v>
      </c>
      <c r="I83" s="14">
        <f t="shared" si="9"/>
        <v>82.58</v>
      </c>
      <c r="J83" s="14">
        <f t="shared" si="10"/>
        <v>0</v>
      </c>
      <c r="K83" s="14">
        <f t="shared" si="11"/>
        <v>82.58</v>
      </c>
      <c r="L83" s="14">
        <f t="shared" si="12"/>
        <v>2.23</v>
      </c>
      <c r="M83" s="14"/>
      <c r="N83" s="14">
        <v>2.23</v>
      </c>
      <c r="O83" s="9">
        <f t="shared" si="13"/>
        <v>84.81</v>
      </c>
      <c r="P83" s="1">
        <f t="shared" si="14"/>
        <v>0</v>
      </c>
      <c r="Q83" s="1">
        <f t="shared" si="15"/>
        <v>84.81</v>
      </c>
      <c r="R83" s="1">
        <f t="shared" si="16"/>
        <v>84.81</v>
      </c>
      <c r="S83" s="1">
        <f t="shared" si="17"/>
        <v>0</v>
      </c>
      <c r="T83" s="1">
        <f t="shared" si="18"/>
        <v>84.81</v>
      </c>
    </row>
    <row r="84" spans="1:20" ht="34.5" customHeight="1">
      <c r="A84" s="4" t="s">
        <v>98</v>
      </c>
      <c r="B84" s="3" t="s">
        <v>228</v>
      </c>
      <c r="C84" s="12">
        <f t="shared" si="8"/>
        <v>85.86</v>
      </c>
      <c r="D84" s="12">
        <v>0.5</v>
      </c>
      <c r="E84" s="12">
        <v>85.36</v>
      </c>
      <c r="F84" s="12">
        <v>0</v>
      </c>
      <c r="G84" s="12">
        <v>0</v>
      </c>
      <c r="H84" s="12">
        <v>0</v>
      </c>
      <c r="I84" s="14">
        <f t="shared" si="9"/>
        <v>85.86</v>
      </c>
      <c r="J84" s="14">
        <f t="shared" si="10"/>
        <v>0.5</v>
      </c>
      <c r="K84" s="14">
        <f t="shared" si="11"/>
        <v>85.36</v>
      </c>
      <c r="L84" s="14">
        <f t="shared" si="12"/>
        <v>5.08</v>
      </c>
      <c r="M84" s="14">
        <v>-0.5</v>
      </c>
      <c r="N84" s="14">
        <f>5.08+0.5</f>
        <v>5.58</v>
      </c>
      <c r="O84" s="16">
        <f t="shared" si="13"/>
        <v>90.94</v>
      </c>
      <c r="P84" s="1">
        <f t="shared" si="14"/>
        <v>0</v>
      </c>
      <c r="Q84" s="1">
        <f t="shared" si="15"/>
        <v>90.94</v>
      </c>
      <c r="R84" s="1">
        <f t="shared" si="16"/>
        <v>90.94</v>
      </c>
      <c r="S84" s="1">
        <f t="shared" si="17"/>
        <v>0</v>
      </c>
      <c r="T84" s="1">
        <f t="shared" si="18"/>
        <v>90.94</v>
      </c>
    </row>
    <row r="85" spans="1:20" ht="47.25" customHeight="1">
      <c r="A85" s="4" t="s">
        <v>99</v>
      </c>
      <c r="B85" s="3" t="s">
        <v>247</v>
      </c>
      <c r="C85" s="12">
        <f t="shared" si="8"/>
        <v>216.7</v>
      </c>
      <c r="D85" s="12">
        <v>2.94</v>
      </c>
      <c r="E85" s="12">
        <v>213.76</v>
      </c>
      <c r="F85" s="12">
        <v>0</v>
      </c>
      <c r="G85" s="12">
        <v>0</v>
      </c>
      <c r="H85" s="12">
        <v>0</v>
      </c>
      <c r="I85" s="14">
        <f t="shared" si="9"/>
        <v>216.7</v>
      </c>
      <c r="J85" s="14">
        <f t="shared" si="10"/>
        <v>2.94</v>
      </c>
      <c r="K85" s="14">
        <f t="shared" si="11"/>
        <v>213.76</v>
      </c>
      <c r="L85" s="14">
        <f t="shared" si="12"/>
        <v>8.63</v>
      </c>
      <c r="M85" s="14">
        <v>-2.94</v>
      </c>
      <c r="N85" s="14">
        <f>8.63+2.94</f>
        <v>11.57</v>
      </c>
      <c r="O85" s="16">
        <f t="shared" si="13"/>
        <v>225.32999999999998</v>
      </c>
      <c r="P85" s="1">
        <f t="shared" si="14"/>
        <v>0</v>
      </c>
      <c r="Q85" s="1">
        <f t="shared" si="15"/>
        <v>225.32999999999998</v>
      </c>
      <c r="R85" s="1">
        <f t="shared" si="16"/>
        <v>225.32999999999998</v>
      </c>
      <c r="S85" s="1">
        <f t="shared" si="17"/>
        <v>0</v>
      </c>
      <c r="T85" s="1">
        <f t="shared" si="18"/>
        <v>225.32999999999998</v>
      </c>
    </row>
    <row r="86" spans="1:20" ht="27">
      <c r="A86" s="4" t="s">
        <v>100</v>
      </c>
      <c r="B86" s="3" t="s">
        <v>229</v>
      </c>
      <c r="C86" s="12">
        <f t="shared" si="8"/>
        <v>36.28</v>
      </c>
      <c r="D86" s="12">
        <v>0</v>
      </c>
      <c r="E86" s="12">
        <v>36.28</v>
      </c>
      <c r="F86" s="12">
        <v>0</v>
      </c>
      <c r="G86" s="12">
        <v>0</v>
      </c>
      <c r="H86" s="12">
        <v>0</v>
      </c>
      <c r="I86" s="14">
        <f t="shared" si="9"/>
        <v>36.28</v>
      </c>
      <c r="J86" s="14">
        <f t="shared" si="10"/>
        <v>0</v>
      </c>
      <c r="K86" s="14">
        <f t="shared" si="11"/>
        <v>36.28</v>
      </c>
      <c r="L86" s="14">
        <f t="shared" si="12"/>
        <v>0</v>
      </c>
      <c r="M86" s="14"/>
      <c r="N86" s="14"/>
      <c r="O86" s="1">
        <f t="shared" si="13"/>
        <v>36.28</v>
      </c>
      <c r="P86" s="1">
        <f t="shared" si="14"/>
        <v>0</v>
      </c>
      <c r="Q86" s="1">
        <f t="shared" si="15"/>
        <v>36.28</v>
      </c>
      <c r="R86" s="1">
        <f t="shared" si="16"/>
        <v>0</v>
      </c>
      <c r="S86" s="1">
        <f t="shared" si="17"/>
        <v>0</v>
      </c>
      <c r="T86" s="1">
        <f t="shared" si="18"/>
        <v>0</v>
      </c>
    </row>
    <row r="87" spans="1:20" ht="41.25">
      <c r="A87" s="4" t="s">
        <v>101</v>
      </c>
      <c r="B87" s="3" t="s">
        <v>301</v>
      </c>
      <c r="C87" s="12">
        <f t="shared" si="8"/>
        <v>107.92</v>
      </c>
      <c r="D87" s="12">
        <v>0.56</v>
      </c>
      <c r="E87" s="12">
        <f>107.72-0.36</f>
        <v>107.36</v>
      </c>
      <c r="F87" s="12">
        <v>0</v>
      </c>
      <c r="G87" s="12">
        <v>0</v>
      </c>
      <c r="H87" s="12">
        <v>0</v>
      </c>
      <c r="I87" s="14">
        <f t="shared" si="9"/>
        <v>107.92</v>
      </c>
      <c r="J87" s="14">
        <f t="shared" si="10"/>
        <v>0.56</v>
      </c>
      <c r="K87" s="14">
        <f t="shared" si="11"/>
        <v>107.36</v>
      </c>
      <c r="L87" s="14">
        <f t="shared" si="12"/>
        <v>0</v>
      </c>
      <c r="M87" s="14">
        <v>-0.56</v>
      </c>
      <c r="N87" s="14">
        <v>0.56</v>
      </c>
      <c r="O87" s="16">
        <f t="shared" si="13"/>
        <v>107.92</v>
      </c>
      <c r="P87" s="1">
        <f t="shared" si="14"/>
        <v>0</v>
      </c>
      <c r="Q87" s="1">
        <f t="shared" si="15"/>
        <v>107.92</v>
      </c>
      <c r="R87" s="1">
        <f t="shared" si="16"/>
        <v>0</v>
      </c>
      <c r="S87" s="1">
        <f t="shared" si="17"/>
        <v>0</v>
      </c>
      <c r="T87" s="1">
        <f t="shared" si="18"/>
        <v>107.92</v>
      </c>
    </row>
    <row r="88" spans="1:20" ht="33" customHeight="1">
      <c r="A88" s="4" t="s">
        <v>102</v>
      </c>
      <c r="B88" s="3" t="s">
        <v>19</v>
      </c>
      <c r="C88" s="12">
        <f t="shared" si="8"/>
        <v>109.22</v>
      </c>
      <c r="D88" s="12">
        <v>3.17</v>
      </c>
      <c r="E88" s="12">
        <f>106.28-0.12-0.11</f>
        <v>106.05</v>
      </c>
      <c r="F88" s="12">
        <v>0</v>
      </c>
      <c r="G88" s="12">
        <v>0</v>
      </c>
      <c r="H88" s="12">
        <v>0</v>
      </c>
      <c r="I88" s="14">
        <f t="shared" si="9"/>
        <v>109.22</v>
      </c>
      <c r="J88" s="14">
        <f t="shared" si="10"/>
        <v>3.17</v>
      </c>
      <c r="K88" s="14">
        <f t="shared" si="11"/>
        <v>106.05</v>
      </c>
      <c r="L88" s="14">
        <f t="shared" si="12"/>
        <v>7.6</v>
      </c>
      <c r="M88" s="14">
        <v>-3.17</v>
      </c>
      <c r="N88" s="14">
        <f>7.6+3.17</f>
        <v>10.77</v>
      </c>
      <c r="O88" s="16">
        <f t="shared" si="13"/>
        <v>116.82</v>
      </c>
      <c r="P88" s="1">
        <f t="shared" si="14"/>
        <v>0</v>
      </c>
      <c r="Q88" s="1">
        <f t="shared" si="15"/>
        <v>116.82</v>
      </c>
      <c r="R88" s="1">
        <f t="shared" si="16"/>
        <v>116.82</v>
      </c>
      <c r="S88" s="1">
        <f t="shared" si="17"/>
        <v>0</v>
      </c>
      <c r="T88" s="1">
        <f t="shared" si="18"/>
        <v>116.82</v>
      </c>
    </row>
    <row r="89" spans="1:20" ht="30" customHeight="1">
      <c r="A89" s="4" t="s">
        <v>103</v>
      </c>
      <c r="B89" s="3" t="s">
        <v>243</v>
      </c>
      <c r="C89" s="12">
        <f t="shared" si="8"/>
        <v>249.33</v>
      </c>
      <c r="D89" s="12">
        <v>0</v>
      </c>
      <c r="E89" s="12">
        <v>249.33</v>
      </c>
      <c r="F89" s="12">
        <v>0</v>
      </c>
      <c r="G89" s="12">
        <v>0</v>
      </c>
      <c r="H89" s="12">
        <v>0</v>
      </c>
      <c r="I89" s="14">
        <f t="shared" si="9"/>
        <v>249.33</v>
      </c>
      <c r="J89" s="14">
        <f t="shared" si="10"/>
        <v>0</v>
      </c>
      <c r="K89" s="14">
        <f t="shared" si="11"/>
        <v>249.33</v>
      </c>
      <c r="L89" s="14">
        <f t="shared" si="12"/>
        <v>7.22</v>
      </c>
      <c r="M89" s="14"/>
      <c r="N89" s="14">
        <v>7.22</v>
      </c>
      <c r="O89" s="9">
        <f t="shared" si="13"/>
        <v>256.55</v>
      </c>
      <c r="P89" s="1">
        <f t="shared" si="14"/>
        <v>0</v>
      </c>
      <c r="Q89" s="1">
        <f t="shared" si="15"/>
        <v>256.55</v>
      </c>
      <c r="R89" s="1">
        <f t="shared" si="16"/>
        <v>256.55</v>
      </c>
      <c r="S89" s="1">
        <f t="shared" si="17"/>
        <v>0</v>
      </c>
      <c r="T89" s="1">
        <f t="shared" si="18"/>
        <v>256.55</v>
      </c>
    </row>
    <row r="90" spans="1:20" ht="33.75" customHeight="1">
      <c r="A90" s="4" t="s">
        <v>104</v>
      </c>
      <c r="B90" s="3" t="s">
        <v>233</v>
      </c>
      <c r="C90" s="12">
        <f t="shared" si="8"/>
        <v>119.5</v>
      </c>
      <c r="D90" s="12">
        <v>3.17</v>
      </c>
      <c r="E90" s="12">
        <v>116.33</v>
      </c>
      <c r="F90" s="12">
        <v>0</v>
      </c>
      <c r="G90" s="12">
        <v>0</v>
      </c>
      <c r="H90" s="12">
        <v>0</v>
      </c>
      <c r="I90" s="14">
        <f t="shared" si="9"/>
        <v>119.5</v>
      </c>
      <c r="J90" s="14">
        <f t="shared" si="10"/>
        <v>3.17</v>
      </c>
      <c r="K90" s="14">
        <f t="shared" si="11"/>
        <v>116.33</v>
      </c>
      <c r="L90" s="14">
        <f t="shared" si="12"/>
        <v>0</v>
      </c>
      <c r="M90" s="14">
        <v>-3.17</v>
      </c>
      <c r="N90" s="14">
        <v>3.17</v>
      </c>
      <c r="O90" s="16">
        <f t="shared" si="13"/>
        <v>119.5</v>
      </c>
      <c r="P90" s="1">
        <f t="shared" si="14"/>
        <v>0</v>
      </c>
      <c r="Q90" s="1">
        <f t="shared" si="15"/>
        <v>119.5</v>
      </c>
      <c r="R90" s="1">
        <f t="shared" si="16"/>
        <v>0</v>
      </c>
      <c r="S90" s="1">
        <f t="shared" si="17"/>
        <v>0</v>
      </c>
      <c r="T90" s="1">
        <f t="shared" si="18"/>
        <v>119.5</v>
      </c>
    </row>
    <row r="91" spans="1:20" ht="27">
      <c r="A91" s="4" t="s">
        <v>105</v>
      </c>
      <c r="B91" s="3" t="s">
        <v>302</v>
      </c>
      <c r="C91" s="12">
        <f t="shared" si="8"/>
        <v>26.29</v>
      </c>
      <c r="D91" s="12">
        <v>0</v>
      </c>
      <c r="E91" s="12">
        <v>26.29</v>
      </c>
      <c r="F91" s="12">
        <v>0</v>
      </c>
      <c r="G91" s="12">
        <v>0</v>
      </c>
      <c r="H91" s="12">
        <v>0</v>
      </c>
      <c r="I91" s="14">
        <f t="shared" si="9"/>
        <v>26.29</v>
      </c>
      <c r="J91" s="14">
        <f t="shared" si="10"/>
        <v>0</v>
      </c>
      <c r="K91" s="14">
        <f t="shared" si="11"/>
        <v>26.29</v>
      </c>
      <c r="L91" s="14">
        <f t="shared" si="12"/>
        <v>0</v>
      </c>
      <c r="M91" s="14"/>
      <c r="N91" s="14"/>
      <c r="O91" s="1">
        <f t="shared" si="13"/>
        <v>26.29</v>
      </c>
      <c r="P91" s="1">
        <f t="shared" si="14"/>
        <v>0</v>
      </c>
      <c r="Q91" s="1">
        <f t="shared" si="15"/>
        <v>26.29</v>
      </c>
      <c r="R91" s="1">
        <f t="shared" si="16"/>
        <v>0</v>
      </c>
      <c r="S91" s="1">
        <f t="shared" si="17"/>
        <v>0</v>
      </c>
      <c r="T91" s="1">
        <f t="shared" si="18"/>
        <v>0</v>
      </c>
    </row>
    <row r="92" spans="1:20" ht="30" customHeight="1">
      <c r="A92" s="4" t="s">
        <v>106</v>
      </c>
      <c r="B92" s="3" t="s">
        <v>248</v>
      </c>
      <c r="C92" s="12">
        <f t="shared" si="8"/>
        <v>130.43</v>
      </c>
      <c r="D92" s="12">
        <v>26</v>
      </c>
      <c r="E92" s="12">
        <v>104.43</v>
      </c>
      <c r="F92" s="12">
        <v>0</v>
      </c>
      <c r="G92" s="12">
        <v>0</v>
      </c>
      <c r="H92" s="12">
        <v>0</v>
      </c>
      <c r="I92" s="14">
        <f t="shared" si="9"/>
        <v>130.43</v>
      </c>
      <c r="J92" s="14">
        <f t="shared" si="10"/>
        <v>26</v>
      </c>
      <c r="K92" s="14">
        <f t="shared" si="11"/>
        <v>104.43</v>
      </c>
      <c r="L92" s="14">
        <f t="shared" si="12"/>
        <v>4.98</v>
      </c>
      <c r="M92" s="14">
        <f>-5-2</f>
        <v>-7</v>
      </c>
      <c r="N92" s="14">
        <f>9.98+2</f>
        <v>11.98</v>
      </c>
      <c r="O92" s="16">
        <f t="shared" si="13"/>
        <v>135.41000000000003</v>
      </c>
      <c r="P92" s="1">
        <f t="shared" si="14"/>
        <v>19</v>
      </c>
      <c r="Q92" s="1">
        <f t="shared" si="15"/>
        <v>116.41000000000001</v>
      </c>
      <c r="R92" s="1">
        <f t="shared" si="16"/>
        <v>135.41000000000003</v>
      </c>
      <c r="S92" s="1">
        <f t="shared" si="17"/>
        <v>19</v>
      </c>
      <c r="T92" s="1">
        <f t="shared" si="18"/>
        <v>116.41000000000001</v>
      </c>
    </row>
    <row r="93" spans="1:20" ht="30.75" customHeight="1">
      <c r="A93" s="4" t="s">
        <v>107</v>
      </c>
      <c r="B93" s="3" t="s">
        <v>244</v>
      </c>
      <c r="C93" s="12">
        <f t="shared" si="8"/>
        <v>140.84</v>
      </c>
      <c r="D93" s="12">
        <v>3</v>
      </c>
      <c r="E93" s="12">
        <v>137.84</v>
      </c>
      <c r="F93" s="12">
        <v>0</v>
      </c>
      <c r="G93" s="12">
        <v>0</v>
      </c>
      <c r="H93" s="12">
        <v>0</v>
      </c>
      <c r="I93" s="14">
        <f t="shared" si="9"/>
        <v>140.84</v>
      </c>
      <c r="J93" s="14">
        <f t="shared" si="10"/>
        <v>3</v>
      </c>
      <c r="K93" s="14">
        <f t="shared" si="11"/>
        <v>137.84</v>
      </c>
      <c r="L93" s="14">
        <f t="shared" si="12"/>
        <v>1.2800000000000002</v>
      </c>
      <c r="M93" s="14">
        <v>-3</v>
      </c>
      <c r="N93" s="14">
        <f>1.28+3</f>
        <v>4.28</v>
      </c>
      <c r="O93" s="16">
        <f t="shared" si="13"/>
        <v>142.12</v>
      </c>
      <c r="P93" s="1">
        <f t="shared" si="14"/>
        <v>0</v>
      </c>
      <c r="Q93" s="1">
        <f t="shared" si="15"/>
        <v>142.12</v>
      </c>
      <c r="R93" s="1">
        <f t="shared" si="16"/>
        <v>142.12</v>
      </c>
      <c r="S93" s="1">
        <f t="shared" si="17"/>
        <v>0</v>
      </c>
      <c r="T93" s="1">
        <f t="shared" si="18"/>
        <v>142.12</v>
      </c>
    </row>
    <row r="94" spans="1:20" ht="30.75" customHeight="1">
      <c r="A94" s="4" t="s">
        <v>108</v>
      </c>
      <c r="B94" s="3" t="s">
        <v>230</v>
      </c>
      <c r="C94" s="12">
        <f t="shared" si="8"/>
        <v>189.47</v>
      </c>
      <c r="D94" s="12">
        <v>19.97</v>
      </c>
      <c r="E94" s="12">
        <v>169.5</v>
      </c>
      <c r="F94" s="12">
        <v>0</v>
      </c>
      <c r="G94" s="12">
        <v>0</v>
      </c>
      <c r="H94" s="12">
        <v>0</v>
      </c>
      <c r="I94" s="14">
        <f t="shared" si="9"/>
        <v>189.47</v>
      </c>
      <c r="J94" s="14">
        <f t="shared" si="10"/>
        <v>19.97</v>
      </c>
      <c r="K94" s="14">
        <f t="shared" si="11"/>
        <v>169.5</v>
      </c>
      <c r="L94" s="14">
        <f t="shared" si="12"/>
        <v>2.5700000000000003</v>
      </c>
      <c r="M94" s="14">
        <v>-19.97</v>
      </c>
      <c r="N94" s="14">
        <f>2.57+19.97</f>
        <v>22.54</v>
      </c>
      <c r="O94" s="16">
        <f t="shared" si="13"/>
        <v>192.04</v>
      </c>
      <c r="P94" s="1">
        <f t="shared" si="14"/>
        <v>0</v>
      </c>
      <c r="Q94" s="1">
        <f t="shared" si="15"/>
        <v>192.04</v>
      </c>
      <c r="R94" s="1">
        <f t="shared" si="16"/>
        <v>192.04</v>
      </c>
      <c r="S94" s="1">
        <f t="shared" si="17"/>
        <v>0</v>
      </c>
      <c r="T94" s="1">
        <f t="shared" si="18"/>
        <v>192.04</v>
      </c>
    </row>
    <row r="95" spans="1:20" ht="41.25">
      <c r="A95" s="4" t="s">
        <v>109</v>
      </c>
      <c r="B95" s="3" t="s">
        <v>245</v>
      </c>
      <c r="C95" s="12">
        <f t="shared" si="8"/>
        <v>135.89000000000001</v>
      </c>
      <c r="D95" s="12">
        <v>1.53</v>
      </c>
      <c r="E95" s="12">
        <v>134.36</v>
      </c>
      <c r="F95" s="12">
        <v>0</v>
      </c>
      <c r="G95" s="12">
        <v>0</v>
      </c>
      <c r="H95" s="12">
        <v>0</v>
      </c>
      <c r="I95" s="14">
        <f t="shared" si="9"/>
        <v>135.89000000000001</v>
      </c>
      <c r="J95" s="14">
        <f t="shared" si="10"/>
        <v>1.53</v>
      </c>
      <c r="K95" s="14">
        <f t="shared" si="11"/>
        <v>134.36</v>
      </c>
      <c r="L95" s="14">
        <f t="shared" si="12"/>
        <v>4.06</v>
      </c>
      <c r="M95" s="14">
        <v>-1.53</v>
      </c>
      <c r="N95" s="14">
        <f>4.06+1.53</f>
        <v>5.59</v>
      </c>
      <c r="O95" s="16">
        <f t="shared" si="13"/>
        <v>139.95000000000002</v>
      </c>
      <c r="P95" s="1">
        <f t="shared" si="14"/>
        <v>0</v>
      </c>
      <c r="Q95" s="1">
        <f t="shared" si="15"/>
        <v>139.95000000000002</v>
      </c>
      <c r="R95" s="1">
        <f t="shared" si="16"/>
        <v>139.95000000000002</v>
      </c>
      <c r="S95" s="1">
        <f t="shared" si="17"/>
        <v>0</v>
      </c>
      <c r="T95" s="1">
        <f t="shared" si="18"/>
        <v>139.95000000000002</v>
      </c>
    </row>
    <row r="96" spans="1:20" ht="41.25">
      <c r="A96" s="4" t="s">
        <v>110</v>
      </c>
      <c r="B96" s="3" t="s">
        <v>256</v>
      </c>
      <c r="C96" s="12">
        <f t="shared" si="8"/>
        <v>81.74</v>
      </c>
      <c r="D96" s="12">
        <v>2</v>
      </c>
      <c r="E96" s="12">
        <v>79.74</v>
      </c>
      <c r="F96" s="12">
        <v>0</v>
      </c>
      <c r="G96" s="12">
        <v>0</v>
      </c>
      <c r="H96" s="12">
        <v>0</v>
      </c>
      <c r="I96" s="14">
        <f t="shared" si="9"/>
        <v>81.74</v>
      </c>
      <c r="J96" s="14">
        <f t="shared" si="10"/>
        <v>2</v>
      </c>
      <c r="K96" s="14">
        <f t="shared" si="11"/>
        <v>79.74</v>
      </c>
      <c r="L96" s="14">
        <f t="shared" si="12"/>
        <v>2.87</v>
      </c>
      <c r="M96" s="14">
        <v>-2</v>
      </c>
      <c r="N96" s="14">
        <f>2.87+2</f>
        <v>4.87</v>
      </c>
      <c r="O96" s="16">
        <f t="shared" si="13"/>
        <v>84.61</v>
      </c>
      <c r="P96" s="1">
        <f t="shared" si="14"/>
        <v>0</v>
      </c>
      <c r="Q96" s="1">
        <f t="shared" si="15"/>
        <v>84.61</v>
      </c>
      <c r="R96" s="1">
        <f t="shared" si="16"/>
        <v>84.61</v>
      </c>
      <c r="S96" s="1">
        <f t="shared" si="17"/>
        <v>0</v>
      </c>
      <c r="T96" s="1">
        <f t="shared" si="18"/>
        <v>84.61</v>
      </c>
    </row>
    <row r="97" spans="1:20" ht="41.25">
      <c r="A97" s="4" t="s">
        <v>111</v>
      </c>
      <c r="B97" s="3" t="s">
        <v>231</v>
      </c>
      <c r="C97" s="12">
        <f t="shared" si="8"/>
        <v>202.01</v>
      </c>
      <c r="D97" s="12">
        <v>3.94</v>
      </c>
      <c r="E97" s="12">
        <f>198.4-0.33</f>
        <v>198.07</v>
      </c>
      <c r="F97" s="12">
        <v>0</v>
      </c>
      <c r="G97" s="12">
        <v>0</v>
      </c>
      <c r="H97" s="12">
        <v>0</v>
      </c>
      <c r="I97" s="14">
        <f t="shared" si="9"/>
        <v>202.01</v>
      </c>
      <c r="J97" s="14">
        <f t="shared" si="10"/>
        <v>3.94</v>
      </c>
      <c r="K97" s="14">
        <f t="shared" si="11"/>
        <v>198.07</v>
      </c>
      <c r="L97" s="14">
        <f t="shared" si="12"/>
        <v>0.9099999999999997</v>
      </c>
      <c r="M97" s="14">
        <v>-3.94</v>
      </c>
      <c r="N97" s="14">
        <f>0.91+3.94</f>
        <v>4.85</v>
      </c>
      <c r="O97" s="16">
        <f t="shared" si="13"/>
        <v>202.92</v>
      </c>
      <c r="P97" s="1">
        <f t="shared" si="14"/>
        <v>0</v>
      </c>
      <c r="Q97" s="1">
        <f t="shared" si="15"/>
        <v>202.92</v>
      </c>
      <c r="R97" s="1">
        <f t="shared" si="16"/>
        <v>202.92</v>
      </c>
      <c r="S97" s="1">
        <f t="shared" si="17"/>
        <v>0</v>
      </c>
      <c r="T97" s="1">
        <f t="shared" si="18"/>
        <v>202.92</v>
      </c>
    </row>
    <row r="98" spans="1:20" ht="32.25" customHeight="1">
      <c r="A98" s="4" t="s">
        <v>112</v>
      </c>
      <c r="B98" s="3" t="s">
        <v>232</v>
      </c>
      <c r="C98" s="12">
        <f t="shared" si="8"/>
        <v>114.53</v>
      </c>
      <c r="D98" s="12">
        <v>5.73</v>
      </c>
      <c r="E98" s="12">
        <v>108.8</v>
      </c>
      <c r="F98" s="12">
        <v>0</v>
      </c>
      <c r="G98" s="12">
        <v>0</v>
      </c>
      <c r="H98" s="12">
        <v>0</v>
      </c>
      <c r="I98" s="14">
        <f t="shared" si="9"/>
        <v>114.53</v>
      </c>
      <c r="J98" s="14">
        <f t="shared" si="10"/>
        <v>5.73</v>
      </c>
      <c r="K98" s="14">
        <f t="shared" si="11"/>
        <v>108.8</v>
      </c>
      <c r="L98" s="14">
        <f t="shared" si="12"/>
        <v>1.5499999999999998</v>
      </c>
      <c r="M98" s="14">
        <v>-5.73</v>
      </c>
      <c r="N98" s="14">
        <f>1.55+5.73</f>
        <v>7.28</v>
      </c>
      <c r="O98" s="16">
        <f t="shared" si="13"/>
        <v>116.08</v>
      </c>
      <c r="P98" s="1">
        <f t="shared" si="14"/>
        <v>0</v>
      </c>
      <c r="Q98" s="1">
        <f t="shared" si="15"/>
        <v>116.08</v>
      </c>
      <c r="R98" s="1">
        <f t="shared" si="16"/>
        <v>116.08</v>
      </c>
      <c r="S98" s="1">
        <f t="shared" si="17"/>
        <v>0</v>
      </c>
      <c r="T98" s="1">
        <f t="shared" si="18"/>
        <v>116.08</v>
      </c>
    </row>
    <row r="99" spans="1:20" ht="37.5" customHeight="1">
      <c r="A99" s="4" t="s">
        <v>113</v>
      </c>
      <c r="B99" s="3" t="s">
        <v>235</v>
      </c>
      <c r="C99" s="12">
        <f t="shared" si="8"/>
        <v>127.79</v>
      </c>
      <c r="D99" s="12">
        <v>2</v>
      </c>
      <c r="E99" s="12">
        <f>126.79-1</f>
        <v>125.79</v>
      </c>
      <c r="F99" s="12">
        <v>0</v>
      </c>
      <c r="G99" s="12">
        <v>0</v>
      </c>
      <c r="H99" s="12">
        <v>0</v>
      </c>
      <c r="I99" s="14">
        <f t="shared" si="9"/>
        <v>127.79</v>
      </c>
      <c r="J99" s="14">
        <f t="shared" si="10"/>
        <v>2</v>
      </c>
      <c r="K99" s="14">
        <f t="shared" si="11"/>
        <v>125.79</v>
      </c>
      <c r="L99" s="14">
        <f t="shared" si="12"/>
        <v>0</v>
      </c>
      <c r="M99" s="14">
        <v>-2</v>
      </c>
      <c r="N99" s="14">
        <v>2</v>
      </c>
      <c r="O99" s="16">
        <f t="shared" si="13"/>
        <v>127.79</v>
      </c>
      <c r="P99" s="1">
        <f t="shared" si="14"/>
        <v>0</v>
      </c>
      <c r="Q99" s="1">
        <f t="shared" si="15"/>
        <v>127.79</v>
      </c>
      <c r="R99" s="1">
        <f t="shared" si="16"/>
        <v>0</v>
      </c>
      <c r="S99" s="1">
        <f t="shared" si="17"/>
        <v>0</v>
      </c>
      <c r="T99" s="1">
        <f t="shared" si="18"/>
        <v>127.79</v>
      </c>
    </row>
    <row r="100" spans="1:20" ht="34.5" customHeight="1">
      <c r="A100" s="4" t="s">
        <v>114</v>
      </c>
      <c r="B100" s="3" t="s">
        <v>251</v>
      </c>
      <c r="C100" s="12">
        <f t="shared" si="8"/>
        <v>115.99</v>
      </c>
      <c r="D100" s="12">
        <v>1.5</v>
      </c>
      <c r="E100" s="12">
        <v>114.49</v>
      </c>
      <c r="F100" s="12">
        <v>0</v>
      </c>
      <c r="G100" s="12">
        <v>0</v>
      </c>
      <c r="H100" s="12">
        <v>0</v>
      </c>
      <c r="I100" s="14">
        <f t="shared" si="9"/>
        <v>115.99</v>
      </c>
      <c r="J100" s="14">
        <f t="shared" si="10"/>
        <v>1.5</v>
      </c>
      <c r="K100" s="14">
        <f t="shared" si="11"/>
        <v>114.49</v>
      </c>
      <c r="L100" s="14">
        <f t="shared" si="12"/>
        <v>3.05</v>
      </c>
      <c r="M100" s="14">
        <v>-1.5</v>
      </c>
      <c r="N100" s="14">
        <f>3.05+1.5</f>
        <v>4.55</v>
      </c>
      <c r="O100" s="16">
        <f t="shared" si="13"/>
        <v>119.03999999999999</v>
      </c>
      <c r="P100" s="1">
        <f t="shared" si="14"/>
        <v>0</v>
      </c>
      <c r="Q100" s="1">
        <f t="shared" si="15"/>
        <v>119.03999999999999</v>
      </c>
      <c r="R100" s="1">
        <f t="shared" si="16"/>
        <v>119.03999999999999</v>
      </c>
      <c r="S100" s="1">
        <f t="shared" si="17"/>
        <v>0</v>
      </c>
      <c r="T100" s="1">
        <f t="shared" si="18"/>
        <v>119.03999999999999</v>
      </c>
    </row>
    <row r="101" spans="1:20" ht="34.5" customHeight="1">
      <c r="A101" s="4" t="s">
        <v>115</v>
      </c>
      <c r="B101" s="3" t="s">
        <v>246</v>
      </c>
      <c r="C101" s="12">
        <f t="shared" si="8"/>
        <v>130.31</v>
      </c>
      <c r="D101" s="12">
        <v>2.33</v>
      </c>
      <c r="E101" s="12">
        <v>127.98</v>
      </c>
      <c r="F101" s="12">
        <v>0</v>
      </c>
      <c r="G101" s="12">
        <v>0</v>
      </c>
      <c r="H101" s="12">
        <v>0</v>
      </c>
      <c r="I101" s="14">
        <f t="shared" si="9"/>
        <v>130.31</v>
      </c>
      <c r="J101" s="14">
        <f t="shared" si="10"/>
        <v>2.33</v>
      </c>
      <c r="K101" s="14">
        <f t="shared" si="11"/>
        <v>127.98</v>
      </c>
      <c r="L101" s="14">
        <f t="shared" si="12"/>
        <v>2.6799999999999997</v>
      </c>
      <c r="M101" s="14">
        <v>-2.33</v>
      </c>
      <c r="N101" s="14">
        <f>2.68+2.33</f>
        <v>5.01</v>
      </c>
      <c r="O101" s="16">
        <f t="shared" si="13"/>
        <v>132.99</v>
      </c>
      <c r="P101" s="1">
        <f t="shared" si="14"/>
        <v>0</v>
      </c>
      <c r="Q101" s="1">
        <f t="shared" si="15"/>
        <v>132.99</v>
      </c>
      <c r="R101" s="1">
        <f t="shared" si="16"/>
        <v>132.99</v>
      </c>
      <c r="S101" s="1">
        <f t="shared" si="17"/>
        <v>0</v>
      </c>
      <c r="T101" s="1">
        <f t="shared" si="18"/>
        <v>132.99</v>
      </c>
    </row>
    <row r="102" spans="1:20" ht="33.75" customHeight="1">
      <c r="A102" s="4" t="s">
        <v>116</v>
      </c>
      <c r="B102" s="3" t="s">
        <v>0</v>
      </c>
      <c r="C102" s="12">
        <f t="shared" si="8"/>
        <v>124.61</v>
      </c>
      <c r="D102" s="12">
        <v>0</v>
      </c>
      <c r="E102" s="12">
        <f>125.61-1</f>
        <v>124.61</v>
      </c>
      <c r="F102" s="12">
        <v>0</v>
      </c>
      <c r="G102" s="12">
        <v>0</v>
      </c>
      <c r="H102" s="12">
        <v>0</v>
      </c>
      <c r="I102" s="14">
        <f t="shared" si="9"/>
        <v>124.61</v>
      </c>
      <c r="J102" s="14">
        <f t="shared" si="10"/>
        <v>0</v>
      </c>
      <c r="K102" s="14">
        <f t="shared" si="11"/>
        <v>124.61</v>
      </c>
      <c r="L102" s="14">
        <f t="shared" si="12"/>
        <v>1.84</v>
      </c>
      <c r="M102" s="14"/>
      <c r="N102" s="14">
        <v>1.84</v>
      </c>
      <c r="O102" s="9">
        <f t="shared" si="13"/>
        <v>126.45</v>
      </c>
      <c r="P102" s="1">
        <f t="shared" si="14"/>
        <v>0</v>
      </c>
      <c r="Q102" s="1">
        <f t="shared" si="15"/>
        <v>126.45</v>
      </c>
      <c r="R102" s="1">
        <f t="shared" si="16"/>
        <v>126.45</v>
      </c>
      <c r="S102" s="1">
        <f t="shared" si="17"/>
        <v>0</v>
      </c>
      <c r="T102" s="1">
        <f t="shared" si="18"/>
        <v>126.45</v>
      </c>
    </row>
    <row r="103" spans="1:20" ht="35.25" customHeight="1">
      <c r="A103" s="4" t="s">
        <v>117</v>
      </c>
      <c r="B103" s="3" t="s">
        <v>1</v>
      </c>
      <c r="C103" s="12">
        <f t="shared" si="8"/>
        <v>137.35</v>
      </c>
      <c r="D103" s="12">
        <v>1.5</v>
      </c>
      <c r="E103" s="12">
        <f>136.85-1</f>
        <v>135.85</v>
      </c>
      <c r="F103" s="12">
        <v>0</v>
      </c>
      <c r="G103" s="12">
        <v>0</v>
      </c>
      <c r="H103" s="12">
        <v>0</v>
      </c>
      <c r="I103" s="14">
        <f t="shared" si="9"/>
        <v>137.35</v>
      </c>
      <c r="J103" s="14">
        <f t="shared" si="10"/>
        <v>1.5</v>
      </c>
      <c r="K103" s="14">
        <f t="shared" si="11"/>
        <v>135.85</v>
      </c>
      <c r="L103" s="14">
        <f t="shared" si="12"/>
        <v>1.5300000000000002</v>
      </c>
      <c r="M103" s="14">
        <v>-1.5</v>
      </c>
      <c r="N103" s="14">
        <f>1.53+1.5</f>
        <v>3.0300000000000002</v>
      </c>
      <c r="O103" s="16">
        <f t="shared" si="13"/>
        <v>138.88</v>
      </c>
      <c r="P103" s="1">
        <f t="shared" si="14"/>
        <v>0</v>
      </c>
      <c r="Q103" s="1">
        <f t="shared" si="15"/>
        <v>138.88</v>
      </c>
      <c r="R103" s="1">
        <f t="shared" si="16"/>
        <v>138.88</v>
      </c>
      <c r="S103" s="1">
        <f t="shared" si="17"/>
        <v>0</v>
      </c>
      <c r="T103" s="1">
        <f t="shared" si="18"/>
        <v>138.88</v>
      </c>
    </row>
    <row r="104" spans="1:20" ht="33.75" customHeight="1">
      <c r="A104" s="4" t="s">
        <v>118</v>
      </c>
      <c r="B104" s="3" t="s">
        <v>257</v>
      </c>
      <c r="C104" s="12">
        <f t="shared" si="8"/>
        <v>156.03</v>
      </c>
      <c r="D104" s="12">
        <v>0.33</v>
      </c>
      <c r="E104" s="12">
        <v>155.7</v>
      </c>
      <c r="F104" s="12">
        <v>0</v>
      </c>
      <c r="G104" s="12">
        <v>0</v>
      </c>
      <c r="H104" s="12">
        <v>0</v>
      </c>
      <c r="I104" s="14">
        <f t="shared" si="9"/>
        <v>156.03</v>
      </c>
      <c r="J104" s="14">
        <f t="shared" si="10"/>
        <v>0.33</v>
      </c>
      <c r="K104" s="14">
        <f t="shared" si="11"/>
        <v>155.7</v>
      </c>
      <c r="L104" s="14">
        <f t="shared" si="12"/>
        <v>7.6899999999999995</v>
      </c>
      <c r="M104" s="14">
        <v>-0.33</v>
      </c>
      <c r="N104" s="14">
        <f>7.69+0.33</f>
        <v>8.02</v>
      </c>
      <c r="O104" s="16">
        <f t="shared" si="13"/>
        <v>163.72</v>
      </c>
      <c r="P104" s="1">
        <f t="shared" si="14"/>
        <v>0</v>
      </c>
      <c r="Q104" s="1">
        <f t="shared" si="15"/>
        <v>163.72</v>
      </c>
      <c r="R104" s="1">
        <f t="shared" si="16"/>
        <v>163.72</v>
      </c>
      <c r="S104" s="1">
        <f t="shared" si="17"/>
        <v>0</v>
      </c>
      <c r="T104" s="1">
        <f t="shared" si="18"/>
        <v>163.72</v>
      </c>
    </row>
    <row r="105" spans="1:20" ht="34.5" customHeight="1">
      <c r="A105" s="4" t="s">
        <v>119</v>
      </c>
      <c r="B105" s="3" t="s">
        <v>306</v>
      </c>
      <c r="C105" s="12">
        <f t="shared" si="8"/>
        <v>91.18</v>
      </c>
      <c r="D105" s="12">
        <v>3</v>
      </c>
      <c r="E105" s="12">
        <v>88.18</v>
      </c>
      <c r="F105" s="12">
        <v>0</v>
      </c>
      <c r="G105" s="12">
        <v>0</v>
      </c>
      <c r="H105" s="12">
        <v>0</v>
      </c>
      <c r="I105" s="14">
        <f t="shared" si="9"/>
        <v>91.18</v>
      </c>
      <c r="J105" s="14">
        <f t="shared" si="10"/>
        <v>3</v>
      </c>
      <c r="K105" s="14">
        <f t="shared" si="11"/>
        <v>88.18</v>
      </c>
      <c r="L105" s="14">
        <f t="shared" si="12"/>
        <v>1.17</v>
      </c>
      <c r="M105" s="14">
        <v>-3</v>
      </c>
      <c r="N105" s="14">
        <f>1.17+3</f>
        <v>4.17</v>
      </c>
      <c r="O105" s="16">
        <f t="shared" si="13"/>
        <v>92.35000000000001</v>
      </c>
      <c r="P105" s="1">
        <f t="shared" si="14"/>
        <v>0</v>
      </c>
      <c r="Q105" s="1">
        <f t="shared" si="15"/>
        <v>92.35000000000001</v>
      </c>
      <c r="R105" s="1">
        <f t="shared" si="16"/>
        <v>92.35000000000001</v>
      </c>
      <c r="S105" s="1">
        <f t="shared" si="17"/>
        <v>0</v>
      </c>
      <c r="T105" s="1">
        <f t="shared" si="18"/>
        <v>92.35000000000001</v>
      </c>
    </row>
    <row r="106" spans="1:20" ht="36" customHeight="1">
      <c r="A106" s="4" t="s">
        <v>120</v>
      </c>
      <c r="B106" s="3" t="s">
        <v>237</v>
      </c>
      <c r="C106" s="12">
        <f t="shared" si="8"/>
        <v>127.11</v>
      </c>
      <c r="D106" s="12">
        <v>0.5</v>
      </c>
      <c r="E106" s="12">
        <f>127.47-0.86</f>
        <v>126.61</v>
      </c>
      <c r="F106" s="12">
        <v>0</v>
      </c>
      <c r="G106" s="12">
        <v>0</v>
      </c>
      <c r="H106" s="12">
        <v>0</v>
      </c>
      <c r="I106" s="14">
        <f t="shared" si="9"/>
        <v>127.11</v>
      </c>
      <c r="J106" s="14">
        <f t="shared" si="10"/>
        <v>0.5</v>
      </c>
      <c r="K106" s="14">
        <f t="shared" si="11"/>
        <v>126.61</v>
      </c>
      <c r="L106" s="14">
        <f t="shared" si="12"/>
        <v>9.64</v>
      </c>
      <c r="M106" s="14">
        <v>-0.5</v>
      </c>
      <c r="N106" s="14">
        <f>9.64+0.5</f>
        <v>10.14</v>
      </c>
      <c r="O106" s="16">
        <f t="shared" si="13"/>
        <v>136.75</v>
      </c>
      <c r="P106" s="1">
        <f t="shared" si="14"/>
        <v>0</v>
      </c>
      <c r="Q106" s="1">
        <f t="shared" si="15"/>
        <v>136.75</v>
      </c>
      <c r="R106" s="1">
        <f t="shared" si="16"/>
        <v>136.75</v>
      </c>
      <c r="S106" s="1">
        <f t="shared" si="17"/>
        <v>0</v>
      </c>
      <c r="T106" s="1">
        <f t="shared" si="18"/>
        <v>136.75</v>
      </c>
    </row>
    <row r="107" spans="1:20" ht="36" customHeight="1">
      <c r="A107" s="4" t="s">
        <v>121</v>
      </c>
      <c r="B107" s="3" t="s">
        <v>2</v>
      </c>
      <c r="C107" s="12">
        <f t="shared" si="8"/>
        <v>139.55</v>
      </c>
      <c r="D107" s="12">
        <v>2</v>
      </c>
      <c r="E107" s="12">
        <v>137.55</v>
      </c>
      <c r="F107" s="12">
        <v>0</v>
      </c>
      <c r="G107" s="12">
        <v>0</v>
      </c>
      <c r="H107" s="12">
        <v>0</v>
      </c>
      <c r="I107" s="14">
        <f t="shared" si="9"/>
        <v>139.55</v>
      </c>
      <c r="J107" s="14">
        <f t="shared" si="10"/>
        <v>2</v>
      </c>
      <c r="K107" s="14">
        <f t="shared" si="11"/>
        <v>137.55</v>
      </c>
      <c r="L107" s="14">
        <f t="shared" si="12"/>
        <v>0</v>
      </c>
      <c r="M107" s="14">
        <v>-2</v>
      </c>
      <c r="N107" s="14">
        <v>2</v>
      </c>
      <c r="O107" s="16">
        <f t="shared" si="13"/>
        <v>139.55</v>
      </c>
      <c r="P107" s="1">
        <f t="shared" si="14"/>
        <v>0</v>
      </c>
      <c r="Q107" s="1">
        <f t="shared" si="15"/>
        <v>139.55</v>
      </c>
      <c r="R107" s="1">
        <f t="shared" si="16"/>
        <v>0</v>
      </c>
      <c r="S107" s="1">
        <f t="shared" si="17"/>
        <v>0</v>
      </c>
      <c r="T107" s="1">
        <f t="shared" si="18"/>
        <v>139.55</v>
      </c>
    </row>
    <row r="108" spans="1:20" ht="33" customHeight="1">
      <c r="A108" s="4" t="s">
        <v>122</v>
      </c>
      <c r="B108" s="5" t="s">
        <v>241</v>
      </c>
      <c r="C108" s="12">
        <f t="shared" si="8"/>
        <v>155.39</v>
      </c>
      <c r="D108" s="12">
        <v>25.5</v>
      </c>
      <c r="E108" s="12">
        <v>129.89</v>
      </c>
      <c r="F108" s="12">
        <v>0</v>
      </c>
      <c r="G108" s="12">
        <v>0</v>
      </c>
      <c r="H108" s="12">
        <v>0</v>
      </c>
      <c r="I108" s="14">
        <f t="shared" si="9"/>
        <v>155.39</v>
      </c>
      <c r="J108" s="14">
        <f t="shared" si="10"/>
        <v>25.5</v>
      </c>
      <c r="K108" s="14">
        <f t="shared" si="11"/>
        <v>129.89</v>
      </c>
      <c r="L108" s="14">
        <f t="shared" si="12"/>
        <v>0</v>
      </c>
      <c r="M108" s="14">
        <v>-1</v>
      </c>
      <c r="N108" s="14">
        <v>1</v>
      </c>
      <c r="O108" s="16">
        <f t="shared" si="13"/>
        <v>155.39</v>
      </c>
      <c r="P108" s="1">
        <f t="shared" si="14"/>
        <v>24.5</v>
      </c>
      <c r="Q108" s="1">
        <f t="shared" si="15"/>
        <v>130.89</v>
      </c>
      <c r="R108" s="1">
        <f t="shared" si="16"/>
        <v>0</v>
      </c>
      <c r="S108" s="1">
        <f t="shared" si="17"/>
        <v>24.5</v>
      </c>
      <c r="T108" s="1">
        <f t="shared" si="18"/>
        <v>130.89</v>
      </c>
    </row>
    <row r="109" spans="1:20" ht="30.75" customHeight="1">
      <c r="A109" s="4" t="s">
        <v>123</v>
      </c>
      <c r="B109" s="3" t="s">
        <v>258</v>
      </c>
      <c r="C109" s="12">
        <f t="shared" si="8"/>
        <v>75.74</v>
      </c>
      <c r="D109" s="12">
        <v>2</v>
      </c>
      <c r="E109" s="12">
        <v>73.74</v>
      </c>
      <c r="F109" s="12">
        <v>0</v>
      </c>
      <c r="G109" s="12">
        <v>0</v>
      </c>
      <c r="H109" s="12">
        <v>0</v>
      </c>
      <c r="I109" s="14">
        <f t="shared" si="9"/>
        <v>75.74</v>
      </c>
      <c r="J109" s="14">
        <f t="shared" si="10"/>
        <v>2</v>
      </c>
      <c r="K109" s="14">
        <f t="shared" si="11"/>
        <v>73.74</v>
      </c>
      <c r="L109" s="14">
        <f t="shared" si="12"/>
        <v>2.0299999999999994</v>
      </c>
      <c r="M109" s="14">
        <v>-2</v>
      </c>
      <c r="N109" s="14">
        <f>2.03+2</f>
        <v>4.029999999999999</v>
      </c>
      <c r="O109" s="16">
        <f t="shared" si="13"/>
        <v>77.77</v>
      </c>
      <c r="P109" s="1">
        <f t="shared" si="14"/>
        <v>0</v>
      </c>
      <c r="Q109" s="1">
        <f t="shared" si="15"/>
        <v>77.77</v>
      </c>
      <c r="R109" s="1">
        <f t="shared" si="16"/>
        <v>77.77</v>
      </c>
      <c r="S109" s="1">
        <f t="shared" si="17"/>
        <v>0</v>
      </c>
      <c r="T109" s="1">
        <f t="shared" si="18"/>
        <v>77.77</v>
      </c>
    </row>
    <row r="110" spans="1:20" ht="34.5" customHeight="1">
      <c r="A110" s="4" t="s">
        <v>124</v>
      </c>
      <c r="B110" s="3" t="s">
        <v>288</v>
      </c>
      <c r="C110" s="12">
        <f t="shared" si="8"/>
        <v>122.87</v>
      </c>
      <c r="D110" s="12">
        <v>3.97</v>
      </c>
      <c r="E110" s="12">
        <v>118.9</v>
      </c>
      <c r="F110" s="12">
        <v>0</v>
      </c>
      <c r="G110" s="12">
        <v>0</v>
      </c>
      <c r="H110" s="12">
        <v>0</v>
      </c>
      <c r="I110" s="14">
        <f t="shared" si="9"/>
        <v>122.87</v>
      </c>
      <c r="J110" s="14">
        <f t="shared" si="10"/>
        <v>3.97</v>
      </c>
      <c r="K110" s="14">
        <f t="shared" si="11"/>
        <v>118.9</v>
      </c>
      <c r="L110" s="14">
        <f t="shared" si="12"/>
        <v>2.47</v>
      </c>
      <c r="M110" s="14">
        <v>-3.97</v>
      </c>
      <c r="N110" s="14">
        <f>2.47+3.97</f>
        <v>6.44</v>
      </c>
      <c r="O110" s="16">
        <f t="shared" si="13"/>
        <v>125.34</v>
      </c>
      <c r="P110" s="1">
        <f t="shared" si="14"/>
        <v>0</v>
      </c>
      <c r="Q110" s="1">
        <f t="shared" si="15"/>
        <v>125.34</v>
      </c>
      <c r="R110" s="1">
        <f t="shared" si="16"/>
        <v>125.34</v>
      </c>
      <c r="S110" s="1">
        <f t="shared" si="17"/>
        <v>0</v>
      </c>
      <c r="T110" s="1">
        <f t="shared" si="18"/>
        <v>125.34</v>
      </c>
    </row>
    <row r="111" spans="1:20" ht="33" customHeight="1">
      <c r="A111" s="4" t="s">
        <v>267</v>
      </c>
      <c r="B111" s="3" t="s">
        <v>3</v>
      </c>
      <c r="C111" s="12">
        <f t="shared" si="8"/>
        <v>72.42</v>
      </c>
      <c r="D111" s="12">
        <v>2.56</v>
      </c>
      <c r="E111" s="12">
        <v>69.86</v>
      </c>
      <c r="F111" s="12">
        <v>0</v>
      </c>
      <c r="G111" s="12">
        <v>0</v>
      </c>
      <c r="H111" s="12">
        <v>0</v>
      </c>
      <c r="I111" s="14">
        <f t="shared" si="9"/>
        <v>72.42</v>
      </c>
      <c r="J111" s="14">
        <f t="shared" si="10"/>
        <v>2.56</v>
      </c>
      <c r="K111" s="14">
        <f t="shared" si="11"/>
        <v>69.86</v>
      </c>
      <c r="L111" s="14">
        <f t="shared" si="12"/>
        <v>0.7399999999999998</v>
      </c>
      <c r="M111" s="14">
        <v>-2.56</v>
      </c>
      <c r="N111" s="14">
        <f>0.74+2.56</f>
        <v>3.3</v>
      </c>
      <c r="O111" s="16">
        <f t="shared" si="13"/>
        <v>73.16</v>
      </c>
      <c r="P111" s="1">
        <f t="shared" si="14"/>
        <v>0</v>
      </c>
      <c r="Q111" s="1">
        <f t="shared" si="15"/>
        <v>73.16</v>
      </c>
      <c r="R111" s="1">
        <f t="shared" si="16"/>
        <v>73.16</v>
      </c>
      <c r="S111" s="1">
        <f t="shared" si="17"/>
        <v>0</v>
      </c>
      <c r="T111" s="1">
        <f t="shared" si="18"/>
        <v>73.16</v>
      </c>
    </row>
    <row r="112" spans="1:20" ht="33.75" customHeight="1">
      <c r="A112" s="4" t="s">
        <v>125</v>
      </c>
      <c r="B112" s="3" t="s">
        <v>259</v>
      </c>
      <c r="C112" s="12">
        <f t="shared" si="8"/>
        <v>116.07000000000001</v>
      </c>
      <c r="D112" s="12">
        <v>4.33</v>
      </c>
      <c r="E112" s="12">
        <f>112.09-0.35</f>
        <v>111.74000000000001</v>
      </c>
      <c r="F112" s="12">
        <v>0</v>
      </c>
      <c r="G112" s="12">
        <v>0</v>
      </c>
      <c r="H112" s="12">
        <v>0</v>
      </c>
      <c r="I112" s="14">
        <f t="shared" si="9"/>
        <v>116.07000000000001</v>
      </c>
      <c r="J112" s="14">
        <f t="shared" si="10"/>
        <v>4.33</v>
      </c>
      <c r="K112" s="14">
        <f t="shared" si="11"/>
        <v>111.74000000000001</v>
      </c>
      <c r="L112" s="14">
        <f t="shared" si="12"/>
        <v>3.24</v>
      </c>
      <c r="M112" s="14">
        <v>-4.33</v>
      </c>
      <c r="N112" s="14">
        <f>3.24+4.33</f>
        <v>7.57</v>
      </c>
      <c r="O112" s="16">
        <f t="shared" si="13"/>
        <v>119.31</v>
      </c>
      <c r="P112" s="1">
        <f t="shared" si="14"/>
        <v>0</v>
      </c>
      <c r="Q112" s="1">
        <f t="shared" si="15"/>
        <v>119.31</v>
      </c>
      <c r="R112" s="1">
        <f t="shared" si="16"/>
        <v>119.31</v>
      </c>
      <c r="S112" s="1">
        <f t="shared" si="17"/>
        <v>0</v>
      </c>
      <c r="T112" s="1">
        <f t="shared" si="18"/>
        <v>119.31</v>
      </c>
    </row>
    <row r="113" spans="1:20" s="2" customFormat="1" ht="27">
      <c r="A113" s="4" t="s">
        <v>126</v>
      </c>
      <c r="B113" s="3" t="s">
        <v>260</v>
      </c>
      <c r="C113" s="12">
        <f t="shared" si="8"/>
        <v>102.88</v>
      </c>
      <c r="D113" s="12">
        <v>3.78</v>
      </c>
      <c r="E113" s="12">
        <v>99.1</v>
      </c>
      <c r="F113" s="12">
        <v>0</v>
      </c>
      <c r="G113" s="12">
        <v>0</v>
      </c>
      <c r="H113" s="12">
        <v>0</v>
      </c>
      <c r="I113" s="14">
        <f t="shared" si="9"/>
        <v>102.88</v>
      </c>
      <c r="J113" s="14">
        <f t="shared" si="10"/>
        <v>3.78</v>
      </c>
      <c r="K113" s="14">
        <f t="shared" si="11"/>
        <v>99.1</v>
      </c>
      <c r="L113" s="14">
        <f t="shared" si="12"/>
        <v>1.8599999999999999</v>
      </c>
      <c r="M113" s="12">
        <v>-3.78</v>
      </c>
      <c r="N113" s="12">
        <f>1.86+3.78</f>
        <v>5.64</v>
      </c>
      <c r="O113" s="16">
        <f t="shared" si="13"/>
        <v>104.74</v>
      </c>
      <c r="P113" s="1">
        <f t="shared" si="14"/>
        <v>0</v>
      </c>
      <c r="Q113" s="1">
        <f t="shared" si="15"/>
        <v>104.74</v>
      </c>
      <c r="R113" s="1">
        <f t="shared" si="16"/>
        <v>104.74</v>
      </c>
      <c r="S113" s="1">
        <f t="shared" si="17"/>
        <v>0</v>
      </c>
      <c r="T113" s="1">
        <f t="shared" si="18"/>
        <v>104.74</v>
      </c>
    </row>
    <row r="114" spans="1:20" s="9" customFormat="1" ht="30.75" customHeight="1">
      <c r="A114" s="4" t="s">
        <v>127</v>
      </c>
      <c r="B114" s="3" t="s">
        <v>261</v>
      </c>
      <c r="C114" s="12">
        <f t="shared" si="8"/>
        <v>147.28</v>
      </c>
      <c r="D114" s="12">
        <v>27.22</v>
      </c>
      <c r="E114" s="12">
        <v>120.06</v>
      </c>
      <c r="F114" s="12">
        <v>0</v>
      </c>
      <c r="G114" s="12">
        <v>0</v>
      </c>
      <c r="H114" s="12">
        <v>0</v>
      </c>
      <c r="I114" s="14">
        <f t="shared" si="9"/>
        <v>147.28</v>
      </c>
      <c r="J114" s="14">
        <f t="shared" si="10"/>
        <v>27.22</v>
      </c>
      <c r="K114" s="14">
        <f t="shared" si="11"/>
        <v>120.06</v>
      </c>
      <c r="L114" s="14">
        <f t="shared" si="12"/>
        <v>1.8300000000000005</v>
      </c>
      <c r="M114" s="15">
        <v>-2.72</v>
      </c>
      <c r="N114" s="15">
        <f>1.83+2.72</f>
        <v>4.550000000000001</v>
      </c>
      <c r="O114" s="16">
        <f t="shared" si="13"/>
        <v>149.11</v>
      </c>
      <c r="P114" s="1">
        <f t="shared" si="14"/>
        <v>24.5</v>
      </c>
      <c r="Q114" s="1">
        <f t="shared" si="15"/>
        <v>124.61</v>
      </c>
      <c r="R114" s="1">
        <f t="shared" si="16"/>
        <v>149.11</v>
      </c>
      <c r="S114" s="1">
        <f t="shared" si="17"/>
        <v>24.5</v>
      </c>
      <c r="T114" s="1">
        <f t="shared" si="18"/>
        <v>124.61</v>
      </c>
    </row>
    <row r="115" spans="1:20" s="2" customFormat="1" ht="32.25" customHeight="1">
      <c r="A115" s="4" t="s">
        <v>128</v>
      </c>
      <c r="B115" s="3" t="s">
        <v>4</v>
      </c>
      <c r="C115" s="12">
        <f t="shared" si="8"/>
        <v>134.72</v>
      </c>
      <c r="D115" s="12">
        <v>2.77</v>
      </c>
      <c r="E115" s="12">
        <v>131.95</v>
      </c>
      <c r="F115" s="12">
        <v>0</v>
      </c>
      <c r="G115" s="12">
        <v>0</v>
      </c>
      <c r="H115" s="12">
        <v>0</v>
      </c>
      <c r="I115" s="14">
        <f t="shared" si="9"/>
        <v>134.72</v>
      </c>
      <c r="J115" s="14">
        <f t="shared" si="10"/>
        <v>2.77</v>
      </c>
      <c r="K115" s="14">
        <f t="shared" si="11"/>
        <v>131.95</v>
      </c>
      <c r="L115" s="14">
        <f t="shared" si="12"/>
        <v>1.9499999999999997</v>
      </c>
      <c r="M115" s="12">
        <v>-2.77</v>
      </c>
      <c r="N115" s="12">
        <f>1.95+2.77</f>
        <v>4.72</v>
      </c>
      <c r="O115" s="16">
        <f t="shared" si="13"/>
        <v>136.67</v>
      </c>
      <c r="P115" s="1">
        <f t="shared" si="14"/>
        <v>0</v>
      </c>
      <c r="Q115" s="1">
        <f t="shared" si="15"/>
        <v>136.67</v>
      </c>
      <c r="R115" s="1">
        <f t="shared" si="16"/>
        <v>136.67</v>
      </c>
      <c r="S115" s="1">
        <f t="shared" si="17"/>
        <v>0</v>
      </c>
      <c r="T115" s="1">
        <f t="shared" si="18"/>
        <v>136.67</v>
      </c>
    </row>
    <row r="116" spans="1:20" s="2" customFormat="1" ht="33.75" customHeight="1">
      <c r="A116" s="4" t="s">
        <v>129</v>
      </c>
      <c r="B116" s="3" t="s">
        <v>252</v>
      </c>
      <c r="C116" s="12">
        <f t="shared" si="8"/>
        <v>83.63</v>
      </c>
      <c r="D116" s="12">
        <v>0</v>
      </c>
      <c r="E116" s="12">
        <v>83.63</v>
      </c>
      <c r="F116" s="12">
        <v>0</v>
      </c>
      <c r="G116" s="12">
        <v>0</v>
      </c>
      <c r="H116" s="12">
        <v>0</v>
      </c>
      <c r="I116" s="14">
        <f t="shared" si="9"/>
        <v>83.63</v>
      </c>
      <c r="J116" s="14">
        <f t="shared" si="10"/>
        <v>0</v>
      </c>
      <c r="K116" s="14">
        <f t="shared" si="11"/>
        <v>83.63</v>
      </c>
      <c r="L116" s="14">
        <f t="shared" si="12"/>
        <v>3.02</v>
      </c>
      <c r="M116" s="12"/>
      <c r="N116" s="12">
        <v>3.02</v>
      </c>
      <c r="O116" s="9">
        <f t="shared" si="13"/>
        <v>86.64999999999999</v>
      </c>
      <c r="P116" s="1">
        <f t="shared" si="14"/>
        <v>0</v>
      </c>
      <c r="Q116" s="1">
        <f t="shared" si="15"/>
        <v>86.64999999999999</v>
      </c>
      <c r="R116" s="1">
        <f t="shared" si="16"/>
        <v>86.64999999999999</v>
      </c>
      <c r="S116" s="1">
        <f t="shared" si="17"/>
        <v>0</v>
      </c>
      <c r="T116" s="1">
        <f t="shared" si="18"/>
        <v>86.64999999999999</v>
      </c>
    </row>
    <row r="117" spans="1:20" s="2" customFormat="1" ht="36" customHeight="1">
      <c r="A117" s="4" t="s">
        <v>130</v>
      </c>
      <c r="B117" s="3" t="s">
        <v>5</v>
      </c>
      <c r="C117" s="12">
        <f t="shared" si="8"/>
        <v>273.53999999999996</v>
      </c>
      <c r="D117" s="12">
        <v>23.5</v>
      </c>
      <c r="E117" s="12">
        <v>250.04</v>
      </c>
      <c r="F117" s="12">
        <v>0</v>
      </c>
      <c r="G117" s="12">
        <v>0</v>
      </c>
      <c r="H117" s="12">
        <v>0</v>
      </c>
      <c r="I117" s="14">
        <f t="shared" si="9"/>
        <v>273.53999999999996</v>
      </c>
      <c r="J117" s="14">
        <f t="shared" si="10"/>
        <v>23.5</v>
      </c>
      <c r="K117" s="14">
        <f t="shared" si="11"/>
        <v>250.04</v>
      </c>
      <c r="L117" s="14">
        <f t="shared" si="12"/>
        <v>0.9299999999999999</v>
      </c>
      <c r="M117" s="12">
        <v>-0.5</v>
      </c>
      <c r="N117" s="12">
        <v>1.43</v>
      </c>
      <c r="O117" s="9">
        <f t="shared" si="13"/>
        <v>274.47</v>
      </c>
      <c r="P117" s="1">
        <f t="shared" si="14"/>
        <v>23</v>
      </c>
      <c r="Q117" s="1">
        <f t="shared" si="15"/>
        <v>251.47</v>
      </c>
      <c r="R117" s="1">
        <f t="shared" si="16"/>
        <v>274.47</v>
      </c>
      <c r="S117" s="1">
        <f t="shared" si="17"/>
        <v>23</v>
      </c>
      <c r="T117" s="1">
        <f t="shared" si="18"/>
        <v>251.47</v>
      </c>
    </row>
    <row r="118" spans="1:20" s="2" customFormat="1" ht="33.75" customHeight="1">
      <c r="A118" s="4" t="s">
        <v>131</v>
      </c>
      <c r="B118" s="3" t="s">
        <v>262</v>
      </c>
      <c r="C118" s="12">
        <f t="shared" si="8"/>
        <v>82.65</v>
      </c>
      <c r="D118" s="12">
        <v>4.36</v>
      </c>
      <c r="E118" s="12">
        <v>78.29</v>
      </c>
      <c r="F118" s="12">
        <v>0</v>
      </c>
      <c r="G118" s="12">
        <v>0</v>
      </c>
      <c r="H118" s="12">
        <v>0</v>
      </c>
      <c r="I118" s="14">
        <f t="shared" si="9"/>
        <v>82.65</v>
      </c>
      <c r="J118" s="14">
        <f t="shared" si="10"/>
        <v>4.36</v>
      </c>
      <c r="K118" s="14">
        <f t="shared" si="11"/>
        <v>78.29</v>
      </c>
      <c r="L118" s="14">
        <f t="shared" si="12"/>
        <v>0</v>
      </c>
      <c r="M118" s="12">
        <v>-4.36</v>
      </c>
      <c r="N118" s="12">
        <v>4.36</v>
      </c>
      <c r="O118" s="16">
        <f t="shared" si="13"/>
        <v>82.65</v>
      </c>
      <c r="P118" s="1">
        <f t="shared" si="14"/>
        <v>0</v>
      </c>
      <c r="Q118" s="1">
        <f t="shared" si="15"/>
        <v>82.65</v>
      </c>
      <c r="R118" s="1">
        <f t="shared" si="16"/>
        <v>0</v>
      </c>
      <c r="S118" s="1">
        <f t="shared" si="17"/>
        <v>0</v>
      </c>
      <c r="T118" s="1">
        <f t="shared" si="18"/>
        <v>82.65</v>
      </c>
    </row>
    <row r="119" spans="1:20" s="2" customFormat="1" ht="27">
      <c r="A119" s="4" t="s">
        <v>132</v>
      </c>
      <c r="B119" s="3" t="s">
        <v>253</v>
      </c>
      <c r="C119" s="12">
        <f t="shared" si="8"/>
        <v>95.48</v>
      </c>
      <c r="D119" s="12">
        <v>1.67</v>
      </c>
      <c r="E119" s="12">
        <f>94.67-0.36-0.5</f>
        <v>93.81</v>
      </c>
      <c r="F119" s="12">
        <v>0</v>
      </c>
      <c r="G119" s="12">
        <v>0</v>
      </c>
      <c r="H119" s="12">
        <v>0</v>
      </c>
      <c r="I119" s="14">
        <f t="shared" si="9"/>
        <v>95.48</v>
      </c>
      <c r="J119" s="14">
        <f t="shared" si="10"/>
        <v>1.67</v>
      </c>
      <c r="K119" s="14">
        <f t="shared" si="11"/>
        <v>93.81</v>
      </c>
      <c r="L119" s="14">
        <f t="shared" si="12"/>
        <v>7.880000000000001</v>
      </c>
      <c r="M119" s="12">
        <v>-1.67</v>
      </c>
      <c r="N119" s="12">
        <f>7.88+1.67</f>
        <v>9.55</v>
      </c>
      <c r="O119" s="16">
        <f t="shared" si="13"/>
        <v>103.36</v>
      </c>
      <c r="P119" s="1">
        <f t="shared" si="14"/>
        <v>0</v>
      </c>
      <c r="Q119" s="1">
        <f t="shared" si="15"/>
        <v>103.36</v>
      </c>
      <c r="R119" s="1">
        <f t="shared" si="16"/>
        <v>103.36</v>
      </c>
      <c r="S119" s="1">
        <f t="shared" si="17"/>
        <v>0</v>
      </c>
      <c r="T119" s="1">
        <f t="shared" si="18"/>
        <v>103.36</v>
      </c>
    </row>
    <row r="120" spans="1:20" s="2" customFormat="1" ht="27">
      <c r="A120" s="4" t="s">
        <v>133</v>
      </c>
      <c r="B120" s="3" t="s">
        <v>6</v>
      </c>
      <c r="C120" s="12">
        <f t="shared" si="8"/>
        <v>158.91000000000003</v>
      </c>
      <c r="D120" s="12">
        <v>2.33</v>
      </c>
      <c r="E120" s="12">
        <v>156.58</v>
      </c>
      <c r="F120" s="12">
        <v>0</v>
      </c>
      <c r="G120" s="12">
        <v>0</v>
      </c>
      <c r="H120" s="12">
        <v>0</v>
      </c>
      <c r="I120" s="14">
        <f t="shared" si="9"/>
        <v>158.91000000000003</v>
      </c>
      <c r="J120" s="14">
        <f t="shared" si="10"/>
        <v>2.33</v>
      </c>
      <c r="K120" s="14">
        <f t="shared" si="11"/>
        <v>156.58</v>
      </c>
      <c r="L120" s="14">
        <f t="shared" si="12"/>
        <v>6.65</v>
      </c>
      <c r="M120" s="12">
        <v>-2.33</v>
      </c>
      <c r="N120" s="12">
        <f>6.65+2.33</f>
        <v>8.98</v>
      </c>
      <c r="O120" s="16">
        <f t="shared" si="13"/>
        <v>165.56</v>
      </c>
      <c r="P120" s="1">
        <f t="shared" si="14"/>
        <v>0</v>
      </c>
      <c r="Q120" s="1">
        <f t="shared" si="15"/>
        <v>165.56</v>
      </c>
      <c r="R120" s="1">
        <f t="shared" si="16"/>
        <v>165.56</v>
      </c>
      <c r="S120" s="1">
        <f t="shared" si="17"/>
        <v>0</v>
      </c>
      <c r="T120" s="1">
        <f t="shared" si="18"/>
        <v>165.56</v>
      </c>
    </row>
    <row r="121" spans="1:20" s="2" customFormat="1" ht="35.25" customHeight="1">
      <c r="A121" s="4" t="s">
        <v>134</v>
      </c>
      <c r="B121" s="3" t="s">
        <v>240</v>
      </c>
      <c r="C121" s="12">
        <f t="shared" si="8"/>
        <v>162.79</v>
      </c>
      <c r="D121" s="12">
        <v>3.04</v>
      </c>
      <c r="E121" s="12">
        <f>160.08-0.33</f>
        <v>159.75</v>
      </c>
      <c r="F121" s="12">
        <v>0</v>
      </c>
      <c r="G121" s="12">
        <v>0</v>
      </c>
      <c r="H121" s="12">
        <v>0</v>
      </c>
      <c r="I121" s="14">
        <f t="shared" si="9"/>
        <v>162.79</v>
      </c>
      <c r="J121" s="14">
        <f t="shared" si="10"/>
        <v>3.04</v>
      </c>
      <c r="K121" s="14">
        <f t="shared" si="11"/>
        <v>159.75</v>
      </c>
      <c r="L121" s="14">
        <f t="shared" si="12"/>
        <v>6.6000000000000005</v>
      </c>
      <c r="M121" s="12">
        <v>-3.04</v>
      </c>
      <c r="N121" s="12">
        <f>6.6+3.04</f>
        <v>9.64</v>
      </c>
      <c r="O121" s="16">
        <f t="shared" si="13"/>
        <v>169.39</v>
      </c>
      <c r="P121" s="1">
        <f t="shared" si="14"/>
        <v>0</v>
      </c>
      <c r="Q121" s="1">
        <f t="shared" si="15"/>
        <v>169.39</v>
      </c>
      <c r="R121" s="1">
        <f t="shared" si="16"/>
        <v>169.39</v>
      </c>
      <c r="S121" s="1">
        <f t="shared" si="17"/>
        <v>0</v>
      </c>
      <c r="T121" s="1">
        <f t="shared" si="18"/>
        <v>169.39</v>
      </c>
    </row>
    <row r="122" spans="1:20" s="2" customFormat="1" ht="33.75" customHeight="1">
      <c r="A122" s="4" t="s">
        <v>135</v>
      </c>
      <c r="B122" s="3" t="s">
        <v>263</v>
      </c>
      <c r="C122" s="12">
        <f t="shared" si="8"/>
        <v>62.35</v>
      </c>
      <c r="D122" s="12">
        <v>0.33</v>
      </c>
      <c r="E122" s="12">
        <v>62.02</v>
      </c>
      <c r="F122" s="12">
        <v>0</v>
      </c>
      <c r="G122" s="12">
        <v>0</v>
      </c>
      <c r="H122" s="12">
        <v>0</v>
      </c>
      <c r="I122" s="14">
        <f t="shared" si="9"/>
        <v>62.35</v>
      </c>
      <c r="J122" s="14">
        <f t="shared" si="10"/>
        <v>0.33</v>
      </c>
      <c r="K122" s="14">
        <f t="shared" si="11"/>
        <v>62.02</v>
      </c>
      <c r="L122" s="14">
        <f t="shared" si="12"/>
        <v>6.36</v>
      </c>
      <c r="M122" s="12">
        <v>-0.33</v>
      </c>
      <c r="N122" s="12">
        <f>6.36+0.33</f>
        <v>6.69</v>
      </c>
      <c r="O122" s="16">
        <f t="shared" si="13"/>
        <v>68.71000000000001</v>
      </c>
      <c r="P122" s="1">
        <f t="shared" si="14"/>
        <v>0</v>
      </c>
      <c r="Q122" s="1">
        <f t="shared" si="15"/>
        <v>68.71000000000001</v>
      </c>
      <c r="R122" s="1">
        <f t="shared" si="16"/>
        <v>68.71000000000001</v>
      </c>
      <c r="S122" s="1">
        <f t="shared" si="17"/>
        <v>0</v>
      </c>
      <c r="T122" s="1">
        <f t="shared" si="18"/>
        <v>68.71000000000001</v>
      </c>
    </row>
    <row r="123" spans="1:20" s="2" customFormat="1" ht="33" customHeight="1">
      <c r="A123" s="4" t="s">
        <v>136</v>
      </c>
      <c r="B123" s="3" t="s">
        <v>250</v>
      </c>
      <c r="C123" s="12">
        <f t="shared" si="8"/>
        <v>120.59</v>
      </c>
      <c r="D123" s="12">
        <v>2.3</v>
      </c>
      <c r="E123" s="12">
        <v>118.29</v>
      </c>
      <c r="F123" s="12">
        <v>0</v>
      </c>
      <c r="G123" s="12">
        <v>0</v>
      </c>
      <c r="H123" s="12">
        <v>0</v>
      </c>
      <c r="I123" s="14">
        <f t="shared" si="9"/>
        <v>120.59</v>
      </c>
      <c r="J123" s="14">
        <f t="shared" si="10"/>
        <v>2.3</v>
      </c>
      <c r="K123" s="14">
        <f t="shared" si="11"/>
        <v>118.29</v>
      </c>
      <c r="L123" s="14">
        <f t="shared" si="12"/>
        <v>0</v>
      </c>
      <c r="M123" s="12">
        <v>-2.3</v>
      </c>
      <c r="N123" s="12">
        <v>2.3</v>
      </c>
      <c r="O123" s="16">
        <f t="shared" si="13"/>
        <v>120.59</v>
      </c>
      <c r="P123" s="1">
        <f t="shared" si="14"/>
        <v>0</v>
      </c>
      <c r="Q123" s="1">
        <f t="shared" si="15"/>
        <v>120.59</v>
      </c>
      <c r="R123" s="1">
        <f t="shared" si="16"/>
        <v>0</v>
      </c>
      <c r="S123" s="1">
        <f t="shared" si="17"/>
        <v>0</v>
      </c>
      <c r="T123" s="1">
        <f t="shared" si="18"/>
        <v>120.59</v>
      </c>
    </row>
    <row r="124" spans="1:20" s="2" customFormat="1" ht="34.5" customHeight="1">
      <c r="A124" s="4" t="s">
        <v>137</v>
      </c>
      <c r="B124" s="3" t="s">
        <v>7</v>
      </c>
      <c r="C124" s="12">
        <f t="shared" si="8"/>
        <v>91.36</v>
      </c>
      <c r="D124" s="12">
        <v>2.28</v>
      </c>
      <c r="E124" s="12">
        <v>89.08</v>
      </c>
      <c r="F124" s="12">
        <v>0</v>
      </c>
      <c r="G124" s="12">
        <v>0</v>
      </c>
      <c r="H124" s="12">
        <v>0</v>
      </c>
      <c r="I124" s="14">
        <f t="shared" si="9"/>
        <v>91.36</v>
      </c>
      <c r="J124" s="14">
        <f t="shared" si="10"/>
        <v>2.28</v>
      </c>
      <c r="K124" s="14">
        <f t="shared" si="11"/>
        <v>89.08</v>
      </c>
      <c r="L124" s="14">
        <f t="shared" si="12"/>
        <v>5.780000000000001</v>
      </c>
      <c r="M124" s="12">
        <v>-2.28</v>
      </c>
      <c r="N124" s="12">
        <f>5.78+2.28</f>
        <v>8.06</v>
      </c>
      <c r="O124" s="16">
        <f t="shared" si="13"/>
        <v>97.14</v>
      </c>
      <c r="P124" s="1">
        <f t="shared" si="14"/>
        <v>0</v>
      </c>
      <c r="Q124" s="1">
        <f t="shared" si="15"/>
        <v>97.14</v>
      </c>
      <c r="R124" s="1">
        <f t="shared" si="16"/>
        <v>97.14</v>
      </c>
      <c r="S124" s="1">
        <f t="shared" si="17"/>
        <v>0</v>
      </c>
      <c r="T124" s="1">
        <f t="shared" si="18"/>
        <v>97.14</v>
      </c>
    </row>
    <row r="125" spans="1:20" s="2" customFormat="1" ht="34.5" customHeight="1">
      <c r="A125" s="4" t="s">
        <v>138</v>
      </c>
      <c r="B125" s="3" t="s">
        <v>8</v>
      </c>
      <c r="C125" s="12">
        <f t="shared" si="8"/>
        <v>105.24</v>
      </c>
      <c r="D125" s="12">
        <v>0.83</v>
      </c>
      <c r="E125" s="12">
        <v>104.41</v>
      </c>
      <c r="F125" s="12">
        <v>0</v>
      </c>
      <c r="G125" s="12">
        <v>0</v>
      </c>
      <c r="H125" s="12">
        <v>0</v>
      </c>
      <c r="I125" s="14">
        <f t="shared" si="9"/>
        <v>105.24</v>
      </c>
      <c r="J125" s="14">
        <f t="shared" si="10"/>
        <v>0.83</v>
      </c>
      <c r="K125" s="14">
        <f t="shared" si="11"/>
        <v>104.41</v>
      </c>
      <c r="L125" s="14">
        <f t="shared" si="12"/>
        <v>0</v>
      </c>
      <c r="M125" s="12">
        <v>-0.83</v>
      </c>
      <c r="N125" s="12">
        <v>0.83</v>
      </c>
      <c r="O125" s="16">
        <f t="shared" si="13"/>
        <v>105.24</v>
      </c>
      <c r="P125" s="1">
        <f t="shared" si="14"/>
        <v>0</v>
      </c>
      <c r="Q125" s="1">
        <f t="shared" si="15"/>
        <v>105.24</v>
      </c>
      <c r="R125" s="1">
        <f t="shared" si="16"/>
        <v>0</v>
      </c>
      <c r="S125" s="1">
        <f t="shared" si="17"/>
        <v>0</v>
      </c>
      <c r="T125" s="1">
        <f t="shared" si="18"/>
        <v>105.24</v>
      </c>
    </row>
    <row r="126" spans="1:20" s="2" customFormat="1" ht="34.5" customHeight="1">
      <c r="A126" s="4" t="s">
        <v>139</v>
      </c>
      <c r="B126" s="3" t="s">
        <v>264</v>
      </c>
      <c r="C126" s="12">
        <f t="shared" si="8"/>
        <v>101.03</v>
      </c>
      <c r="D126" s="12">
        <v>6.16</v>
      </c>
      <c r="E126" s="12">
        <v>94.87</v>
      </c>
      <c r="F126" s="12">
        <v>0</v>
      </c>
      <c r="G126" s="12">
        <v>0</v>
      </c>
      <c r="H126" s="12">
        <v>0</v>
      </c>
      <c r="I126" s="14">
        <f t="shared" si="9"/>
        <v>101.03</v>
      </c>
      <c r="J126" s="14">
        <f t="shared" si="10"/>
        <v>6.16</v>
      </c>
      <c r="K126" s="14">
        <f t="shared" si="11"/>
        <v>94.87</v>
      </c>
      <c r="L126" s="14">
        <f t="shared" si="12"/>
        <v>10.629999999999999</v>
      </c>
      <c r="M126" s="12">
        <v>-6.16</v>
      </c>
      <c r="N126" s="12">
        <f>10.63+6.16</f>
        <v>16.79</v>
      </c>
      <c r="O126" s="16">
        <f t="shared" si="13"/>
        <v>111.66</v>
      </c>
      <c r="P126" s="1">
        <f t="shared" si="14"/>
        <v>0</v>
      </c>
      <c r="Q126" s="1">
        <f t="shared" si="15"/>
        <v>111.66</v>
      </c>
      <c r="R126" s="1">
        <f t="shared" si="16"/>
        <v>111.66</v>
      </c>
      <c r="S126" s="1">
        <f t="shared" si="17"/>
        <v>0</v>
      </c>
      <c r="T126" s="1">
        <f t="shared" si="18"/>
        <v>111.66</v>
      </c>
    </row>
    <row r="127" spans="1:20" s="2" customFormat="1" ht="27">
      <c r="A127" s="4" t="s">
        <v>140</v>
      </c>
      <c r="B127" s="3" t="s">
        <v>254</v>
      </c>
      <c r="C127" s="12">
        <f t="shared" si="8"/>
        <v>108.17999999999999</v>
      </c>
      <c r="D127" s="12">
        <v>1.33</v>
      </c>
      <c r="E127" s="12">
        <v>106.85</v>
      </c>
      <c r="F127" s="12">
        <v>0</v>
      </c>
      <c r="G127" s="12">
        <v>0</v>
      </c>
      <c r="H127" s="12">
        <v>0</v>
      </c>
      <c r="I127" s="14">
        <f t="shared" si="9"/>
        <v>108.17999999999999</v>
      </c>
      <c r="J127" s="14">
        <f t="shared" si="10"/>
        <v>1.33</v>
      </c>
      <c r="K127" s="14">
        <f t="shared" si="11"/>
        <v>106.85</v>
      </c>
      <c r="L127" s="14">
        <f t="shared" si="12"/>
        <v>4.18</v>
      </c>
      <c r="M127" s="12">
        <v>-1.33</v>
      </c>
      <c r="N127" s="12">
        <f>4.18+1.33</f>
        <v>5.51</v>
      </c>
      <c r="O127" s="16">
        <f t="shared" si="13"/>
        <v>112.36</v>
      </c>
      <c r="P127" s="1">
        <f t="shared" si="14"/>
        <v>0</v>
      </c>
      <c r="Q127" s="1">
        <f t="shared" si="15"/>
        <v>112.36</v>
      </c>
      <c r="R127" s="1">
        <f t="shared" si="16"/>
        <v>112.36</v>
      </c>
      <c r="S127" s="1">
        <f t="shared" si="17"/>
        <v>0</v>
      </c>
      <c r="T127" s="1">
        <f t="shared" si="18"/>
        <v>112.36</v>
      </c>
    </row>
    <row r="128" spans="1:20" s="2" customFormat="1" ht="35.25" customHeight="1">
      <c r="A128" s="4" t="s">
        <v>141</v>
      </c>
      <c r="B128" s="3" t="s">
        <v>265</v>
      </c>
      <c r="C128" s="12">
        <f t="shared" si="8"/>
        <v>121.83000000000001</v>
      </c>
      <c r="D128" s="12">
        <v>0.89</v>
      </c>
      <c r="E128" s="12">
        <f>121.01-0.07</f>
        <v>120.94000000000001</v>
      </c>
      <c r="F128" s="12">
        <v>0</v>
      </c>
      <c r="G128" s="12">
        <v>0</v>
      </c>
      <c r="H128" s="12">
        <v>0</v>
      </c>
      <c r="I128" s="14">
        <f t="shared" si="9"/>
        <v>121.83000000000001</v>
      </c>
      <c r="J128" s="14">
        <f t="shared" si="10"/>
        <v>0.89</v>
      </c>
      <c r="K128" s="14">
        <f t="shared" si="11"/>
        <v>120.94000000000001</v>
      </c>
      <c r="L128" s="14">
        <f t="shared" si="12"/>
        <v>8.08</v>
      </c>
      <c r="M128" s="12">
        <v>-0.89</v>
      </c>
      <c r="N128" s="12">
        <f>8.08+0.89</f>
        <v>8.97</v>
      </c>
      <c r="O128" s="16">
        <f t="shared" si="13"/>
        <v>129.91000000000003</v>
      </c>
      <c r="P128" s="1">
        <f t="shared" si="14"/>
        <v>0</v>
      </c>
      <c r="Q128" s="1">
        <f t="shared" si="15"/>
        <v>129.91000000000003</v>
      </c>
      <c r="R128" s="1">
        <f t="shared" si="16"/>
        <v>129.91000000000003</v>
      </c>
      <c r="S128" s="1">
        <f t="shared" si="17"/>
        <v>0</v>
      </c>
      <c r="T128" s="1">
        <f t="shared" si="18"/>
        <v>129.91000000000003</v>
      </c>
    </row>
    <row r="129" spans="1:20" ht="32.25" customHeight="1">
      <c r="A129" s="4" t="s">
        <v>142</v>
      </c>
      <c r="B129" s="3" t="s">
        <v>9</v>
      </c>
      <c r="C129" s="12">
        <f t="shared" si="8"/>
        <v>140.18</v>
      </c>
      <c r="D129" s="12">
        <v>1.83</v>
      </c>
      <c r="E129" s="12">
        <v>138.35</v>
      </c>
      <c r="F129" s="12">
        <v>0</v>
      </c>
      <c r="G129" s="12">
        <v>0</v>
      </c>
      <c r="H129" s="12">
        <v>0</v>
      </c>
      <c r="I129" s="14">
        <f t="shared" si="9"/>
        <v>140.18</v>
      </c>
      <c r="J129" s="14">
        <f t="shared" si="10"/>
        <v>1.83</v>
      </c>
      <c r="K129" s="14">
        <f t="shared" si="11"/>
        <v>138.35</v>
      </c>
      <c r="L129" s="14">
        <f t="shared" si="12"/>
        <v>7.18</v>
      </c>
      <c r="M129" s="14">
        <v>-1.83</v>
      </c>
      <c r="N129" s="14">
        <f>7.18+1.83</f>
        <v>9.01</v>
      </c>
      <c r="O129" s="16">
        <f t="shared" si="13"/>
        <v>147.35999999999999</v>
      </c>
      <c r="P129" s="1">
        <f t="shared" si="14"/>
        <v>0</v>
      </c>
      <c r="Q129" s="1">
        <f t="shared" si="15"/>
        <v>147.35999999999999</v>
      </c>
      <c r="R129" s="1">
        <f t="shared" si="16"/>
        <v>147.35999999999999</v>
      </c>
      <c r="S129" s="1">
        <f t="shared" si="17"/>
        <v>0</v>
      </c>
      <c r="T129" s="1">
        <f t="shared" si="18"/>
        <v>147.35999999999999</v>
      </c>
    </row>
    <row r="130" spans="1:20" ht="32.25" customHeight="1">
      <c r="A130" s="4" t="s">
        <v>143</v>
      </c>
      <c r="B130" s="3" t="s">
        <v>10</v>
      </c>
      <c r="C130" s="12">
        <f t="shared" si="8"/>
        <v>210.58</v>
      </c>
      <c r="D130" s="12">
        <v>3.11</v>
      </c>
      <c r="E130" s="12">
        <v>207.47</v>
      </c>
      <c r="F130" s="12">
        <v>0</v>
      </c>
      <c r="G130" s="12">
        <v>0</v>
      </c>
      <c r="H130" s="12">
        <v>0</v>
      </c>
      <c r="I130" s="14">
        <f t="shared" si="9"/>
        <v>210.58</v>
      </c>
      <c r="J130" s="14">
        <f t="shared" si="10"/>
        <v>3.11</v>
      </c>
      <c r="K130" s="14">
        <f t="shared" si="11"/>
        <v>207.47</v>
      </c>
      <c r="L130" s="14">
        <f t="shared" si="12"/>
        <v>3.9099999999999997</v>
      </c>
      <c r="M130" s="14">
        <v>-3.11</v>
      </c>
      <c r="N130" s="14">
        <f>3.91+3.11</f>
        <v>7.02</v>
      </c>
      <c r="O130" s="16">
        <f t="shared" si="13"/>
        <v>214.49</v>
      </c>
      <c r="P130" s="1">
        <f t="shared" si="14"/>
        <v>0</v>
      </c>
      <c r="Q130" s="1">
        <f t="shared" si="15"/>
        <v>214.49</v>
      </c>
      <c r="R130" s="1">
        <f t="shared" si="16"/>
        <v>214.49</v>
      </c>
      <c r="S130" s="1">
        <f t="shared" si="17"/>
        <v>0</v>
      </c>
      <c r="T130" s="1">
        <f t="shared" si="18"/>
        <v>214.49</v>
      </c>
    </row>
    <row r="131" spans="1:20" ht="50.25" customHeight="1">
      <c r="A131" s="4" t="s">
        <v>144</v>
      </c>
      <c r="B131" s="3" t="s">
        <v>236</v>
      </c>
      <c r="C131" s="12">
        <f t="shared" si="8"/>
        <v>213.97</v>
      </c>
      <c r="D131" s="12">
        <v>10.53</v>
      </c>
      <c r="E131" s="12">
        <f>204.44-1</f>
        <v>203.44</v>
      </c>
      <c r="F131" s="12">
        <v>0</v>
      </c>
      <c r="G131" s="12">
        <v>0</v>
      </c>
      <c r="H131" s="12">
        <v>0</v>
      </c>
      <c r="I131" s="14">
        <f t="shared" si="9"/>
        <v>213.97</v>
      </c>
      <c r="J131" s="14">
        <f t="shared" si="10"/>
        <v>10.53</v>
      </c>
      <c r="K131" s="14">
        <f t="shared" si="11"/>
        <v>203.44</v>
      </c>
      <c r="L131" s="14">
        <f t="shared" si="12"/>
        <v>14.42</v>
      </c>
      <c r="M131" s="14">
        <v>-10.53</v>
      </c>
      <c r="N131" s="14">
        <f>14.42+10.53</f>
        <v>24.95</v>
      </c>
      <c r="O131" s="16">
        <f t="shared" si="13"/>
        <v>228.39</v>
      </c>
      <c r="P131" s="1">
        <f t="shared" si="14"/>
        <v>0</v>
      </c>
      <c r="Q131" s="1">
        <f t="shared" si="15"/>
        <v>228.39</v>
      </c>
      <c r="R131" s="1">
        <f t="shared" si="16"/>
        <v>228.39</v>
      </c>
      <c r="S131" s="1">
        <f t="shared" si="17"/>
        <v>0</v>
      </c>
      <c r="T131" s="1">
        <f t="shared" si="18"/>
        <v>228.39</v>
      </c>
    </row>
    <row r="132" spans="1:20" ht="35.25" customHeight="1">
      <c r="A132" s="4" t="s">
        <v>145</v>
      </c>
      <c r="B132" s="3" t="s">
        <v>242</v>
      </c>
      <c r="C132" s="12">
        <f t="shared" si="8"/>
        <v>82.06</v>
      </c>
      <c r="D132" s="12">
        <v>1</v>
      </c>
      <c r="E132" s="12">
        <v>81.06</v>
      </c>
      <c r="F132" s="12">
        <v>0</v>
      </c>
      <c r="G132" s="12">
        <v>0</v>
      </c>
      <c r="H132" s="12">
        <v>0</v>
      </c>
      <c r="I132" s="14">
        <f t="shared" si="9"/>
        <v>82.06</v>
      </c>
      <c r="J132" s="14">
        <f t="shared" si="10"/>
        <v>1</v>
      </c>
      <c r="K132" s="14">
        <f t="shared" si="11"/>
        <v>81.06</v>
      </c>
      <c r="L132" s="14">
        <f t="shared" si="12"/>
        <v>1.5099999999999998</v>
      </c>
      <c r="M132" s="14">
        <v>-1</v>
      </c>
      <c r="N132" s="14">
        <f>1.51+1</f>
        <v>2.51</v>
      </c>
      <c r="O132" s="16">
        <f t="shared" si="13"/>
        <v>83.57000000000001</v>
      </c>
      <c r="P132" s="1">
        <f t="shared" si="14"/>
        <v>0</v>
      </c>
      <c r="Q132" s="1">
        <f t="shared" si="15"/>
        <v>83.57000000000001</v>
      </c>
      <c r="R132" s="1">
        <f t="shared" si="16"/>
        <v>83.57000000000001</v>
      </c>
      <c r="S132" s="1">
        <f t="shared" si="17"/>
        <v>0</v>
      </c>
      <c r="T132" s="1">
        <f t="shared" si="18"/>
        <v>83.57000000000001</v>
      </c>
    </row>
    <row r="133" spans="1:20" ht="33.75" customHeight="1">
      <c r="A133" s="4" t="s">
        <v>146</v>
      </c>
      <c r="B133" s="3" t="s">
        <v>266</v>
      </c>
      <c r="C133" s="12">
        <f t="shared" si="8"/>
        <v>61.97</v>
      </c>
      <c r="D133" s="12">
        <v>2.33</v>
      </c>
      <c r="E133" s="12">
        <f>61.08-0.44-0.5-0.5</f>
        <v>59.64</v>
      </c>
      <c r="F133" s="12">
        <v>0</v>
      </c>
      <c r="G133" s="12">
        <v>0</v>
      </c>
      <c r="H133" s="12">
        <v>0</v>
      </c>
      <c r="I133" s="14">
        <f t="shared" si="9"/>
        <v>61.97</v>
      </c>
      <c r="J133" s="14">
        <f t="shared" si="10"/>
        <v>2.33</v>
      </c>
      <c r="K133" s="14">
        <f t="shared" si="11"/>
        <v>59.64</v>
      </c>
      <c r="L133" s="14">
        <f t="shared" si="12"/>
        <v>2.41</v>
      </c>
      <c r="M133" s="14">
        <v>-2.33</v>
      </c>
      <c r="N133" s="14">
        <f>2.41+2.33</f>
        <v>4.74</v>
      </c>
      <c r="O133" s="16">
        <f t="shared" si="13"/>
        <v>64.38</v>
      </c>
      <c r="P133" s="1">
        <f t="shared" si="14"/>
        <v>0</v>
      </c>
      <c r="Q133" s="1">
        <f t="shared" si="15"/>
        <v>64.38</v>
      </c>
      <c r="R133" s="1">
        <f t="shared" si="16"/>
        <v>64.38</v>
      </c>
      <c r="S133" s="1">
        <f t="shared" si="17"/>
        <v>0</v>
      </c>
      <c r="T133" s="1">
        <f t="shared" si="18"/>
        <v>64.38</v>
      </c>
    </row>
    <row r="134" spans="1:20" ht="33.75" customHeight="1">
      <c r="A134" s="4" t="s">
        <v>147</v>
      </c>
      <c r="B134" s="3" t="s">
        <v>276</v>
      </c>
      <c r="C134" s="12">
        <f aca="true" t="shared" si="19" ref="C134:C164">D134+E134</f>
        <v>80.73</v>
      </c>
      <c r="D134" s="12">
        <v>8.28</v>
      </c>
      <c r="E134" s="12">
        <v>72.45</v>
      </c>
      <c r="F134" s="12">
        <v>0</v>
      </c>
      <c r="G134" s="12">
        <v>0</v>
      </c>
      <c r="H134" s="12">
        <v>0</v>
      </c>
      <c r="I134" s="14">
        <f aca="true" t="shared" si="20" ref="I134:I164">IF(F134=0,C134,F134)</f>
        <v>80.73</v>
      </c>
      <c r="J134" s="14">
        <f aca="true" t="shared" si="21" ref="J134:J164">IF(G134=0,D134,G134)</f>
        <v>8.28</v>
      </c>
      <c r="K134" s="14">
        <f aca="true" t="shared" si="22" ref="K134:K164">IF(H134=0,E134,H134)</f>
        <v>72.45</v>
      </c>
      <c r="L134" s="14">
        <f aca="true" t="shared" si="23" ref="L134:L170">M134+N134</f>
        <v>0</v>
      </c>
      <c r="M134" s="14">
        <v>-8.28</v>
      </c>
      <c r="N134" s="14">
        <v>8.28</v>
      </c>
      <c r="O134" s="16">
        <f aca="true" t="shared" si="24" ref="O134:O164">P134+Q134</f>
        <v>80.73</v>
      </c>
      <c r="P134" s="1">
        <f aca="true" t="shared" si="25" ref="P134:P164">J134+M134</f>
        <v>0</v>
      </c>
      <c r="Q134" s="1">
        <f aca="true" t="shared" si="26" ref="Q134:Q164">K134+N134</f>
        <v>80.73</v>
      </c>
      <c r="R134" s="1">
        <f t="shared" si="16"/>
        <v>0</v>
      </c>
      <c r="S134" s="1">
        <f t="shared" si="17"/>
        <v>0</v>
      </c>
      <c r="T134" s="1">
        <f t="shared" si="18"/>
        <v>80.73</v>
      </c>
    </row>
    <row r="135" spans="1:20" ht="31.5" customHeight="1">
      <c r="A135" s="4" t="s">
        <v>148</v>
      </c>
      <c r="B135" s="3" t="s">
        <v>238</v>
      </c>
      <c r="C135" s="12">
        <f t="shared" si="19"/>
        <v>136.17000000000002</v>
      </c>
      <c r="D135" s="12">
        <v>2.33</v>
      </c>
      <c r="E135" s="12">
        <v>133.84</v>
      </c>
      <c r="F135" s="12">
        <v>0</v>
      </c>
      <c r="G135" s="12">
        <v>0</v>
      </c>
      <c r="H135" s="12">
        <v>0</v>
      </c>
      <c r="I135" s="14">
        <f t="shared" si="20"/>
        <v>136.17000000000002</v>
      </c>
      <c r="J135" s="14">
        <f t="shared" si="21"/>
        <v>2.33</v>
      </c>
      <c r="K135" s="14">
        <f t="shared" si="22"/>
        <v>133.84</v>
      </c>
      <c r="L135" s="14">
        <f t="shared" si="23"/>
        <v>3.74</v>
      </c>
      <c r="M135" s="14">
        <v>-2.33</v>
      </c>
      <c r="N135" s="14">
        <f>3.74+2.33</f>
        <v>6.07</v>
      </c>
      <c r="O135" s="16">
        <f t="shared" si="24"/>
        <v>139.91</v>
      </c>
      <c r="P135" s="1">
        <f t="shared" si="25"/>
        <v>0</v>
      </c>
      <c r="Q135" s="1">
        <f t="shared" si="26"/>
        <v>139.91</v>
      </c>
      <c r="R135" s="1">
        <f t="shared" si="16"/>
        <v>139.91</v>
      </c>
      <c r="S135" s="1">
        <f t="shared" si="17"/>
        <v>0</v>
      </c>
      <c r="T135" s="1">
        <f t="shared" si="18"/>
        <v>139.91</v>
      </c>
    </row>
    <row r="136" spans="1:20" ht="41.25">
      <c r="A136" s="4" t="s">
        <v>149</v>
      </c>
      <c r="B136" s="5" t="s">
        <v>297</v>
      </c>
      <c r="C136" s="12">
        <f t="shared" si="19"/>
        <v>94.78</v>
      </c>
      <c r="D136" s="12">
        <v>0</v>
      </c>
      <c r="E136" s="12">
        <v>94.78</v>
      </c>
      <c r="F136" s="12">
        <v>0</v>
      </c>
      <c r="G136" s="12">
        <v>0</v>
      </c>
      <c r="H136" s="12">
        <v>0</v>
      </c>
      <c r="I136" s="14">
        <f t="shared" si="20"/>
        <v>94.78</v>
      </c>
      <c r="J136" s="14">
        <f t="shared" si="21"/>
        <v>0</v>
      </c>
      <c r="K136" s="14">
        <f t="shared" si="22"/>
        <v>94.78</v>
      </c>
      <c r="L136" s="14">
        <f t="shared" si="23"/>
        <v>7.83</v>
      </c>
      <c r="M136" s="14"/>
      <c r="N136" s="14">
        <v>7.83</v>
      </c>
      <c r="O136" s="9">
        <f t="shared" si="24"/>
        <v>102.61</v>
      </c>
      <c r="P136" s="1">
        <f t="shared" si="25"/>
        <v>0</v>
      </c>
      <c r="Q136" s="1">
        <f t="shared" si="26"/>
        <v>102.61</v>
      </c>
      <c r="R136" s="1">
        <f t="shared" si="16"/>
        <v>102.61</v>
      </c>
      <c r="S136" s="1">
        <f t="shared" si="17"/>
        <v>0</v>
      </c>
      <c r="T136" s="1">
        <f t="shared" si="18"/>
        <v>102.61</v>
      </c>
    </row>
    <row r="137" spans="1:20" ht="52.5" customHeight="1">
      <c r="A137" s="4" t="s">
        <v>150</v>
      </c>
      <c r="B137" s="5" t="s">
        <v>299</v>
      </c>
      <c r="C137" s="12">
        <f t="shared" si="19"/>
        <v>101.53</v>
      </c>
      <c r="D137" s="12">
        <v>1</v>
      </c>
      <c r="E137" s="12">
        <v>100.53</v>
      </c>
      <c r="F137" s="12">
        <v>0</v>
      </c>
      <c r="G137" s="12">
        <v>0</v>
      </c>
      <c r="H137" s="12">
        <v>0</v>
      </c>
      <c r="I137" s="14">
        <f t="shared" si="20"/>
        <v>101.53</v>
      </c>
      <c r="J137" s="14">
        <f t="shared" si="21"/>
        <v>1</v>
      </c>
      <c r="K137" s="14">
        <f t="shared" si="22"/>
        <v>100.53</v>
      </c>
      <c r="L137" s="14">
        <f t="shared" si="23"/>
        <v>3.41</v>
      </c>
      <c r="M137" s="14">
        <v>-1</v>
      </c>
      <c r="N137" s="14">
        <f>3.41+1</f>
        <v>4.41</v>
      </c>
      <c r="O137" s="16">
        <f t="shared" si="24"/>
        <v>104.94</v>
      </c>
      <c r="P137" s="1">
        <f t="shared" si="25"/>
        <v>0</v>
      </c>
      <c r="Q137" s="1">
        <f t="shared" si="26"/>
        <v>104.94</v>
      </c>
      <c r="R137" s="1">
        <f t="shared" si="16"/>
        <v>104.94</v>
      </c>
      <c r="S137" s="1">
        <f t="shared" si="17"/>
        <v>0</v>
      </c>
      <c r="T137" s="1">
        <f t="shared" si="18"/>
        <v>104.94</v>
      </c>
    </row>
    <row r="138" spans="1:20" ht="75.75" customHeight="1">
      <c r="A138" s="4" t="s">
        <v>151</v>
      </c>
      <c r="B138" s="3" t="s">
        <v>298</v>
      </c>
      <c r="C138" s="12">
        <f t="shared" si="19"/>
        <v>25.69</v>
      </c>
      <c r="D138" s="12">
        <v>0</v>
      </c>
      <c r="E138" s="12">
        <f>26.19-0.5</f>
        <v>25.69</v>
      </c>
      <c r="F138" s="12">
        <v>0</v>
      </c>
      <c r="G138" s="12">
        <v>0</v>
      </c>
      <c r="H138" s="12">
        <v>0</v>
      </c>
      <c r="I138" s="14">
        <f t="shared" si="20"/>
        <v>25.69</v>
      </c>
      <c r="J138" s="14">
        <f t="shared" si="21"/>
        <v>0</v>
      </c>
      <c r="K138" s="14">
        <f t="shared" si="22"/>
        <v>25.69</v>
      </c>
      <c r="L138" s="14">
        <f t="shared" si="23"/>
        <v>1.17</v>
      </c>
      <c r="M138" s="14"/>
      <c r="N138" s="14">
        <v>1.17</v>
      </c>
      <c r="O138" s="9">
        <f t="shared" si="24"/>
        <v>26.86</v>
      </c>
      <c r="P138" s="1">
        <f t="shared" si="25"/>
        <v>0</v>
      </c>
      <c r="Q138" s="1">
        <f t="shared" si="26"/>
        <v>26.86</v>
      </c>
      <c r="R138" s="1">
        <f t="shared" si="16"/>
        <v>26.86</v>
      </c>
      <c r="S138" s="1">
        <f t="shared" si="17"/>
        <v>0</v>
      </c>
      <c r="T138" s="1">
        <f t="shared" si="18"/>
        <v>26.86</v>
      </c>
    </row>
    <row r="139" spans="1:20" ht="49.5" customHeight="1">
      <c r="A139" s="4" t="s">
        <v>152</v>
      </c>
      <c r="B139" s="3" t="s">
        <v>303</v>
      </c>
      <c r="C139" s="12">
        <f t="shared" si="19"/>
        <v>76.32</v>
      </c>
      <c r="D139" s="12">
        <v>1</v>
      </c>
      <c r="E139" s="12">
        <v>75.32</v>
      </c>
      <c r="F139" s="12">
        <v>0</v>
      </c>
      <c r="G139" s="12">
        <v>0</v>
      </c>
      <c r="H139" s="12">
        <v>0</v>
      </c>
      <c r="I139" s="14">
        <f t="shared" si="20"/>
        <v>76.32</v>
      </c>
      <c r="J139" s="14">
        <f t="shared" si="21"/>
        <v>1</v>
      </c>
      <c r="K139" s="14">
        <f t="shared" si="22"/>
        <v>75.32</v>
      </c>
      <c r="L139" s="14">
        <f t="shared" si="23"/>
        <v>0</v>
      </c>
      <c r="M139" s="14">
        <v>-1</v>
      </c>
      <c r="N139" s="14">
        <v>1</v>
      </c>
      <c r="O139" s="16">
        <f t="shared" si="24"/>
        <v>76.32</v>
      </c>
      <c r="P139" s="1">
        <f t="shared" si="25"/>
        <v>0</v>
      </c>
      <c r="Q139" s="1">
        <f t="shared" si="26"/>
        <v>76.32</v>
      </c>
      <c r="R139" s="1">
        <f t="shared" si="16"/>
        <v>0</v>
      </c>
      <c r="S139" s="1">
        <f t="shared" si="17"/>
        <v>0</v>
      </c>
      <c r="T139" s="1">
        <f t="shared" si="18"/>
        <v>76.32</v>
      </c>
    </row>
    <row r="140" spans="1:20" ht="46.5" customHeight="1">
      <c r="A140" s="4" t="s">
        <v>153</v>
      </c>
      <c r="B140" s="3" t="s">
        <v>287</v>
      </c>
      <c r="C140" s="12">
        <f t="shared" si="19"/>
        <v>126.91</v>
      </c>
      <c r="D140" s="12">
        <v>0</v>
      </c>
      <c r="E140" s="12">
        <f>127.41-0.5</f>
        <v>126.91</v>
      </c>
      <c r="F140" s="12">
        <v>0</v>
      </c>
      <c r="G140" s="12">
        <v>0</v>
      </c>
      <c r="H140" s="12">
        <v>0</v>
      </c>
      <c r="I140" s="14">
        <f t="shared" si="20"/>
        <v>126.91</v>
      </c>
      <c r="J140" s="14">
        <f t="shared" si="21"/>
        <v>0</v>
      </c>
      <c r="K140" s="14">
        <f t="shared" si="22"/>
        <v>126.91</v>
      </c>
      <c r="L140" s="14">
        <f t="shared" si="23"/>
        <v>1.67</v>
      </c>
      <c r="M140" s="14"/>
      <c r="N140" s="14">
        <v>1.67</v>
      </c>
      <c r="O140" s="9">
        <f t="shared" si="24"/>
        <v>128.57999999999998</v>
      </c>
      <c r="P140" s="1">
        <f t="shared" si="25"/>
        <v>0</v>
      </c>
      <c r="Q140" s="1">
        <f t="shared" si="26"/>
        <v>128.57999999999998</v>
      </c>
      <c r="R140" s="1">
        <f t="shared" si="16"/>
        <v>128.57999999999998</v>
      </c>
      <c r="S140" s="1">
        <f t="shared" si="17"/>
        <v>0</v>
      </c>
      <c r="T140" s="1">
        <f t="shared" si="18"/>
        <v>128.57999999999998</v>
      </c>
    </row>
    <row r="141" spans="1:20" ht="82.5" customHeight="1">
      <c r="A141" s="4" t="s">
        <v>154</v>
      </c>
      <c r="B141" s="3" t="s">
        <v>307</v>
      </c>
      <c r="C141" s="12">
        <f t="shared" si="19"/>
        <v>78.34</v>
      </c>
      <c r="D141" s="12">
        <v>1.75</v>
      </c>
      <c r="E141" s="12">
        <v>76.59</v>
      </c>
      <c r="F141" s="12">
        <v>0</v>
      </c>
      <c r="G141" s="12">
        <v>0</v>
      </c>
      <c r="H141" s="12">
        <v>0</v>
      </c>
      <c r="I141" s="14">
        <f t="shared" si="20"/>
        <v>78.34</v>
      </c>
      <c r="J141" s="14">
        <f t="shared" si="21"/>
        <v>1.75</v>
      </c>
      <c r="K141" s="14">
        <f t="shared" si="22"/>
        <v>76.59</v>
      </c>
      <c r="L141" s="14">
        <f t="shared" si="23"/>
        <v>6.719999999999999</v>
      </c>
      <c r="M141" s="14">
        <v>-1.75</v>
      </c>
      <c r="N141" s="14">
        <f>6.72+1.75</f>
        <v>8.469999999999999</v>
      </c>
      <c r="O141" s="16">
        <f t="shared" si="24"/>
        <v>85.06</v>
      </c>
      <c r="P141" s="1">
        <f t="shared" si="25"/>
        <v>0</v>
      </c>
      <c r="Q141" s="1">
        <f t="shared" si="26"/>
        <v>85.06</v>
      </c>
      <c r="R141" s="1">
        <f aca="true" t="shared" si="27" ref="R141:T142">IF(O141=I141,0,O141)</f>
        <v>85.06</v>
      </c>
      <c r="S141" s="1">
        <f t="shared" si="27"/>
        <v>0</v>
      </c>
      <c r="T141" s="1">
        <f t="shared" si="27"/>
        <v>85.06</v>
      </c>
    </row>
    <row r="142" spans="1:20" s="20" customFormat="1" ht="49.5" customHeight="1">
      <c r="A142" s="17" t="s">
        <v>155</v>
      </c>
      <c r="B142" s="18" t="s">
        <v>304</v>
      </c>
      <c r="C142" s="19">
        <f t="shared" si="19"/>
        <v>86.82</v>
      </c>
      <c r="D142" s="19">
        <v>19.25</v>
      </c>
      <c r="E142" s="19">
        <v>67.57</v>
      </c>
      <c r="F142" s="19">
        <v>0</v>
      </c>
      <c r="G142" s="19">
        <v>0</v>
      </c>
      <c r="H142" s="19">
        <v>0</v>
      </c>
      <c r="I142" s="19">
        <f t="shared" si="20"/>
        <v>86.82</v>
      </c>
      <c r="J142" s="19">
        <f t="shared" si="21"/>
        <v>19.25</v>
      </c>
      <c r="K142" s="19">
        <f t="shared" si="22"/>
        <v>67.57</v>
      </c>
      <c r="L142" s="19">
        <f t="shared" si="23"/>
        <v>0.7200000000000006</v>
      </c>
      <c r="M142" s="19">
        <v>10</v>
      </c>
      <c r="N142" s="19">
        <v>-9.28</v>
      </c>
      <c r="O142" s="20">
        <f t="shared" si="24"/>
        <v>87.53999999999999</v>
      </c>
      <c r="P142" s="20">
        <f t="shared" si="25"/>
        <v>29.25</v>
      </c>
      <c r="Q142" s="20">
        <f t="shared" si="26"/>
        <v>58.28999999999999</v>
      </c>
      <c r="R142" s="20">
        <f t="shared" si="27"/>
        <v>87.53999999999999</v>
      </c>
      <c r="S142" s="20">
        <f t="shared" si="27"/>
        <v>29.25</v>
      </c>
      <c r="T142" s="20">
        <f t="shared" si="27"/>
        <v>58.28999999999999</v>
      </c>
    </row>
    <row r="143" spans="1:17" ht="45.75" customHeight="1">
      <c r="A143" s="4" t="s">
        <v>156</v>
      </c>
      <c r="B143" s="3" t="s">
        <v>305</v>
      </c>
      <c r="C143" s="12">
        <f t="shared" si="19"/>
        <v>250</v>
      </c>
      <c r="D143" s="12">
        <v>250</v>
      </c>
      <c r="E143" s="12">
        <v>0</v>
      </c>
      <c r="F143" s="12">
        <v>0</v>
      </c>
      <c r="G143" s="12">
        <v>0</v>
      </c>
      <c r="H143" s="12">
        <v>0</v>
      </c>
      <c r="I143" s="14">
        <f t="shared" si="20"/>
        <v>250</v>
      </c>
      <c r="J143" s="14">
        <f t="shared" si="21"/>
        <v>250</v>
      </c>
      <c r="K143" s="14">
        <f t="shared" si="22"/>
        <v>0</v>
      </c>
      <c r="L143" s="14">
        <f t="shared" si="23"/>
        <v>0.22</v>
      </c>
      <c r="M143" s="14">
        <v>0.22</v>
      </c>
      <c r="N143" s="14"/>
      <c r="O143" s="1">
        <f t="shared" si="24"/>
        <v>250.22</v>
      </c>
      <c r="P143" s="1">
        <f t="shared" si="25"/>
        <v>250.22</v>
      </c>
      <c r="Q143" s="1">
        <f t="shared" si="26"/>
        <v>0</v>
      </c>
    </row>
    <row r="144" spans="1:17" ht="50.25" customHeight="1">
      <c r="A144" s="4" t="s">
        <v>157</v>
      </c>
      <c r="B144" s="3" t="s">
        <v>308</v>
      </c>
      <c r="C144" s="12">
        <f t="shared" si="19"/>
        <v>247.1</v>
      </c>
      <c r="D144" s="12">
        <v>247.1</v>
      </c>
      <c r="E144" s="12">
        <v>0</v>
      </c>
      <c r="F144" s="12">
        <f>G144+H144</f>
        <v>234.27</v>
      </c>
      <c r="G144" s="12">
        <v>234.27</v>
      </c>
      <c r="H144" s="12">
        <v>0</v>
      </c>
      <c r="I144" s="14">
        <f t="shared" si="20"/>
        <v>234.27</v>
      </c>
      <c r="J144" s="14">
        <f t="shared" si="21"/>
        <v>234.27</v>
      </c>
      <c r="K144" s="14">
        <f t="shared" si="22"/>
        <v>0</v>
      </c>
      <c r="L144" s="14">
        <f t="shared" si="23"/>
        <v>-4.89</v>
      </c>
      <c r="M144" s="14">
        <f>-0.22-4.67</f>
        <v>-4.89</v>
      </c>
      <c r="N144" s="14"/>
      <c r="O144" s="1">
        <f t="shared" si="24"/>
        <v>229.38000000000002</v>
      </c>
      <c r="P144" s="1">
        <f t="shared" si="25"/>
        <v>229.38000000000002</v>
      </c>
      <c r="Q144" s="1">
        <f t="shared" si="26"/>
        <v>0</v>
      </c>
    </row>
    <row r="145" spans="1:17" ht="50.25" customHeight="1">
      <c r="A145" s="4" t="s">
        <v>158</v>
      </c>
      <c r="B145" s="3" t="s">
        <v>309</v>
      </c>
      <c r="C145" s="12">
        <f t="shared" si="19"/>
        <v>107.38</v>
      </c>
      <c r="D145" s="12">
        <v>107.38</v>
      </c>
      <c r="E145" s="12">
        <v>0</v>
      </c>
      <c r="F145" s="12">
        <v>0</v>
      </c>
      <c r="G145" s="12">
        <v>0</v>
      </c>
      <c r="H145" s="12">
        <v>0</v>
      </c>
      <c r="I145" s="14">
        <f t="shared" si="20"/>
        <v>107.38</v>
      </c>
      <c r="J145" s="14">
        <f t="shared" si="21"/>
        <v>107.38</v>
      </c>
      <c r="K145" s="14">
        <f t="shared" si="22"/>
        <v>0</v>
      </c>
      <c r="L145" s="14">
        <f t="shared" si="23"/>
        <v>0</v>
      </c>
      <c r="M145" s="14"/>
      <c r="N145" s="14"/>
      <c r="O145" s="1">
        <f t="shared" si="24"/>
        <v>107.38</v>
      </c>
      <c r="P145" s="1">
        <f t="shared" si="25"/>
        <v>107.38</v>
      </c>
      <c r="Q145" s="1">
        <f t="shared" si="26"/>
        <v>0</v>
      </c>
    </row>
    <row r="146" spans="1:17" ht="48" customHeight="1">
      <c r="A146" s="4" t="s">
        <v>159</v>
      </c>
      <c r="B146" s="3" t="s">
        <v>310</v>
      </c>
      <c r="C146" s="12">
        <f t="shared" si="19"/>
        <v>64.63</v>
      </c>
      <c r="D146" s="12">
        <v>64.63</v>
      </c>
      <c r="E146" s="12">
        <v>0</v>
      </c>
      <c r="F146" s="12">
        <v>0</v>
      </c>
      <c r="G146" s="12">
        <v>0</v>
      </c>
      <c r="H146" s="12">
        <v>0</v>
      </c>
      <c r="I146" s="14">
        <f t="shared" si="20"/>
        <v>64.63</v>
      </c>
      <c r="J146" s="14">
        <f t="shared" si="21"/>
        <v>64.63</v>
      </c>
      <c r="K146" s="14">
        <f t="shared" si="22"/>
        <v>0</v>
      </c>
      <c r="L146" s="14">
        <f t="shared" si="23"/>
        <v>0</v>
      </c>
      <c r="M146" s="14"/>
      <c r="N146" s="14"/>
      <c r="O146" s="1">
        <f t="shared" si="24"/>
        <v>64.63</v>
      </c>
      <c r="P146" s="1">
        <f t="shared" si="25"/>
        <v>64.63</v>
      </c>
      <c r="Q146" s="1">
        <f t="shared" si="26"/>
        <v>0</v>
      </c>
    </row>
    <row r="147" spans="1:17" ht="51" customHeight="1">
      <c r="A147" s="4" t="s">
        <v>160</v>
      </c>
      <c r="B147" s="3" t="s">
        <v>311</v>
      </c>
      <c r="C147" s="12">
        <f t="shared" si="19"/>
        <v>86.65</v>
      </c>
      <c r="D147" s="12">
        <v>86.65</v>
      </c>
      <c r="E147" s="12">
        <v>0</v>
      </c>
      <c r="F147" s="12">
        <v>0</v>
      </c>
      <c r="G147" s="12">
        <v>0</v>
      </c>
      <c r="H147" s="12">
        <v>0</v>
      </c>
      <c r="I147" s="14">
        <f t="shared" si="20"/>
        <v>86.65</v>
      </c>
      <c r="J147" s="14">
        <f t="shared" si="21"/>
        <v>86.65</v>
      </c>
      <c r="K147" s="14">
        <f t="shared" si="22"/>
        <v>0</v>
      </c>
      <c r="L147" s="14">
        <f t="shared" si="23"/>
        <v>0</v>
      </c>
      <c r="M147" s="14"/>
      <c r="N147" s="14"/>
      <c r="O147" s="1">
        <f t="shared" si="24"/>
        <v>86.65</v>
      </c>
      <c r="P147" s="1">
        <f t="shared" si="25"/>
        <v>86.65</v>
      </c>
      <c r="Q147" s="1">
        <f t="shared" si="26"/>
        <v>0</v>
      </c>
    </row>
    <row r="148" spans="1:17" ht="51" customHeight="1">
      <c r="A148" s="4" t="s">
        <v>268</v>
      </c>
      <c r="B148" s="3" t="s">
        <v>313</v>
      </c>
      <c r="C148" s="12">
        <f t="shared" si="19"/>
        <v>30.4</v>
      </c>
      <c r="D148" s="12">
        <v>30.4</v>
      </c>
      <c r="E148" s="12">
        <v>0</v>
      </c>
      <c r="F148" s="12">
        <v>0</v>
      </c>
      <c r="G148" s="12">
        <v>0</v>
      </c>
      <c r="H148" s="12">
        <v>0</v>
      </c>
      <c r="I148" s="14">
        <f t="shared" si="20"/>
        <v>30.4</v>
      </c>
      <c r="J148" s="14">
        <f t="shared" si="21"/>
        <v>30.4</v>
      </c>
      <c r="K148" s="14">
        <f t="shared" si="22"/>
        <v>0</v>
      </c>
      <c r="L148" s="14">
        <f t="shared" si="23"/>
        <v>0</v>
      </c>
      <c r="M148" s="14"/>
      <c r="N148" s="14"/>
      <c r="O148" s="1">
        <f t="shared" si="24"/>
        <v>30.4</v>
      </c>
      <c r="P148" s="1">
        <f t="shared" si="25"/>
        <v>30.4</v>
      </c>
      <c r="Q148" s="1">
        <f t="shared" si="26"/>
        <v>0</v>
      </c>
    </row>
    <row r="149" spans="1:17" ht="51" customHeight="1">
      <c r="A149" s="4" t="s">
        <v>161</v>
      </c>
      <c r="B149" s="3" t="s">
        <v>327</v>
      </c>
      <c r="C149" s="12">
        <f t="shared" si="19"/>
        <v>51.55</v>
      </c>
      <c r="D149" s="12">
        <v>51.55</v>
      </c>
      <c r="E149" s="12">
        <v>0</v>
      </c>
      <c r="F149" s="12">
        <v>0</v>
      </c>
      <c r="G149" s="12">
        <v>0</v>
      </c>
      <c r="H149" s="12">
        <v>0</v>
      </c>
      <c r="I149" s="14">
        <f t="shared" si="20"/>
        <v>51.55</v>
      </c>
      <c r="J149" s="14">
        <f t="shared" si="21"/>
        <v>51.55</v>
      </c>
      <c r="K149" s="14">
        <f t="shared" si="22"/>
        <v>0</v>
      </c>
      <c r="L149" s="14">
        <f t="shared" si="23"/>
        <v>0</v>
      </c>
      <c r="M149" s="14"/>
      <c r="N149" s="14"/>
      <c r="O149" s="1">
        <f t="shared" si="24"/>
        <v>51.55</v>
      </c>
      <c r="P149" s="1">
        <f t="shared" si="25"/>
        <v>51.55</v>
      </c>
      <c r="Q149" s="1">
        <f t="shared" si="26"/>
        <v>0</v>
      </c>
    </row>
    <row r="150" spans="1:17" ht="48.75" customHeight="1">
      <c r="A150" s="4" t="s">
        <v>162</v>
      </c>
      <c r="B150" s="3" t="s">
        <v>326</v>
      </c>
      <c r="C150" s="12">
        <f t="shared" si="19"/>
        <v>59.16</v>
      </c>
      <c r="D150" s="12">
        <v>59.16</v>
      </c>
      <c r="E150" s="12">
        <v>0</v>
      </c>
      <c r="F150" s="12">
        <v>0</v>
      </c>
      <c r="G150" s="12">
        <v>0</v>
      </c>
      <c r="H150" s="12">
        <v>0</v>
      </c>
      <c r="I150" s="14">
        <f t="shared" si="20"/>
        <v>59.16</v>
      </c>
      <c r="J150" s="14">
        <f t="shared" si="21"/>
        <v>59.16</v>
      </c>
      <c r="K150" s="14">
        <f t="shared" si="22"/>
        <v>0</v>
      </c>
      <c r="L150" s="14">
        <f t="shared" si="23"/>
        <v>4.67</v>
      </c>
      <c r="M150" s="14">
        <v>4.67</v>
      </c>
      <c r="N150" s="14"/>
      <c r="O150" s="1">
        <f t="shared" si="24"/>
        <v>63.83</v>
      </c>
      <c r="P150" s="1">
        <f t="shared" si="25"/>
        <v>63.83</v>
      </c>
      <c r="Q150" s="1">
        <f t="shared" si="26"/>
        <v>0</v>
      </c>
    </row>
    <row r="151" spans="1:17" ht="48" customHeight="1">
      <c r="A151" s="4" t="s">
        <v>163</v>
      </c>
      <c r="B151" s="3" t="s">
        <v>325</v>
      </c>
      <c r="C151" s="12">
        <f t="shared" si="19"/>
        <v>114.07</v>
      </c>
      <c r="D151" s="12">
        <v>114.07</v>
      </c>
      <c r="E151" s="12">
        <v>0</v>
      </c>
      <c r="F151" s="12">
        <v>0</v>
      </c>
      <c r="G151" s="12">
        <v>0</v>
      </c>
      <c r="H151" s="12">
        <v>0</v>
      </c>
      <c r="I151" s="14">
        <f t="shared" si="20"/>
        <v>114.07</v>
      </c>
      <c r="J151" s="14">
        <f t="shared" si="21"/>
        <v>114.07</v>
      </c>
      <c r="K151" s="14">
        <f t="shared" si="22"/>
        <v>0</v>
      </c>
      <c r="L151" s="14">
        <f t="shared" si="23"/>
        <v>0</v>
      </c>
      <c r="M151" s="14"/>
      <c r="N151" s="14"/>
      <c r="O151" s="1">
        <f t="shared" si="24"/>
        <v>114.07</v>
      </c>
      <c r="P151" s="1">
        <f t="shared" si="25"/>
        <v>114.07</v>
      </c>
      <c r="Q151" s="1">
        <f t="shared" si="26"/>
        <v>0</v>
      </c>
    </row>
    <row r="152" spans="1:17" ht="47.25" customHeight="1">
      <c r="A152" s="4" t="s">
        <v>164</v>
      </c>
      <c r="B152" s="3" t="s">
        <v>324</v>
      </c>
      <c r="C152" s="12">
        <f t="shared" si="19"/>
        <v>112.75</v>
      </c>
      <c r="D152" s="12">
        <v>112.75</v>
      </c>
      <c r="E152" s="12">
        <v>0</v>
      </c>
      <c r="F152" s="12">
        <v>0</v>
      </c>
      <c r="G152" s="12">
        <v>0</v>
      </c>
      <c r="H152" s="12">
        <v>0</v>
      </c>
      <c r="I152" s="14">
        <f t="shared" si="20"/>
        <v>112.75</v>
      </c>
      <c r="J152" s="14">
        <f t="shared" si="21"/>
        <v>112.75</v>
      </c>
      <c r="K152" s="14">
        <f t="shared" si="22"/>
        <v>0</v>
      </c>
      <c r="L152" s="14">
        <f t="shared" si="23"/>
        <v>0</v>
      </c>
      <c r="M152" s="14"/>
      <c r="N152" s="14"/>
      <c r="O152" s="1">
        <f t="shared" si="24"/>
        <v>112.75</v>
      </c>
      <c r="P152" s="1">
        <f t="shared" si="25"/>
        <v>112.75</v>
      </c>
      <c r="Q152" s="1">
        <f t="shared" si="26"/>
        <v>0</v>
      </c>
    </row>
    <row r="153" spans="1:17" ht="44.25" customHeight="1">
      <c r="A153" s="4" t="s">
        <v>165</v>
      </c>
      <c r="B153" s="3" t="s">
        <v>322</v>
      </c>
      <c r="C153" s="12">
        <f t="shared" si="19"/>
        <v>68.13</v>
      </c>
      <c r="D153" s="12">
        <v>68.13</v>
      </c>
      <c r="E153" s="12">
        <v>0</v>
      </c>
      <c r="F153" s="12">
        <v>0</v>
      </c>
      <c r="G153" s="12">
        <v>0</v>
      </c>
      <c r="H153" s="12">
        <v>0</v>
      </c>
      <c r="I153" s="14">
        <f t="shared" si="20"/>
        <v>68.13</v>
      </c>
      <c r="J153" s="14">
        <f t="shared" si="21"/>
        <v>68.13</v>
      </c>
      <c r="K153" s="14">
        <f t="shared" si="22"/>
        <v>0</v>
      </c>
      <c r="L153" s="14">
        <f t="shared" si="23"/>
        <v>0</v>
      </c>
      <c r="M153" s="14"/>
      <c r="N153" s="14"/>
      <c r="O153" s="1">
        <f t="shared" si="24"/>
        <v>68.13</v>
      </c>
      <c r="P153" s="1">
        <f t="shared" si="25"/>
        <v>68.13</v>
      </c>
      <c r="Q153" s="1">
        <f t="shared" si="26"/>
        <v>0</v>
      </c>
    </row>
    <row r="154" spans="1:17" ht="45.75" customHeight="1">
      <c r="A154" s="4" t="s">
        <v>166</v>
      </c>
      <c r="B154" s="3" t="s">
        <v>320</v>
      </c>
      <c r="C154" s="12">
        <f t="shared" si="19"/>
        <v>63.4</v>
      </c>
      <c r="D154" s="12">
        <v>63.4</v>
      </c>
      <c r="E154" s="12">
        <v>0</v>
      </c>
      <c r="F154" s="12">
        <v>0</v>
      </c>
      <c r="G154" s="12">
        <v>0</v>
      </c>
      <c r="H154" s="12">
        <v>0</v>
      </c>
      <c r="I154" s="14">
        <f t="shared" si="20"/>
        <v>63.4</v>
      </c>
      <c r="J154" s="14">
        <f t="shared" si="21"/>
        <v>63.4</v>
      </c>
      <c r="K154" s="14">
        <f t="shared" si="22"/>
        <v>0</v>
      </c>
      <c r="L154" s="14">
        <f t="shared" si="23"/>
        <v>0</v>
      </c>
      <c r="M154" s="14"/>
      <c r="N154" s="14"/>
      <c r="O154" s="1">
        <f t="shared" si="24"/>
        <v>63.4</v>
      </c>
      <c r="P154" s="1">
        <f t="shared" si="25"/>
        <v>63.4</v>
      </c>
      <c r="Q154" s="1">
        <f t="shared" si="26"/>
        <v>0</v>
      </c>
    </row>
    <row r="155" spans="1:17" ht="48.75" customHeight="1">
      <c r="A155" s="4" t="s">
        <v>167</v>
      </c>
      <c r="B155" s="3" t="s">
        <v>319</v>
      </c>
      <c r="C155" s="12">
        <f t="shared" si="19"/>
        <v>241.81</v>
      </c>
      <c r="D155" s="12">
        <v>241.81</v>
      </c>
      <c r="E155" s="12">
        <v>0</v>
      </c>
      <c r="F155" s="12">
        <v>0</v>
      </c>
      <c r="G155" s="12">
        <v>0</v>
      </c>
      <c r="H155" s="12">
        <v>0</v>
      </c>
      <c r="I155" s="14">
        <f t="shared" si="20"/>
        <v>241.81</v>
      </c>
      <c r="J155" s="14">
        <f t="shared" si="21"/>
        <v>241.81</v>
      </c>
      <c r="K155" s="14">
        <f t="shared" si="22"/>
        <v>0</v>
      </c>
      <c r="L155" s="14">
        <f t="shared" si="23"/>
        <v>0</v>
      </c>
      <c r="M155" s="14"/>
      <c r="N155" s="14"/>
      <c r="O155" s="1">
        <f t="shared" si="24"/>
        <v>241.81</v>
      </c>
      <c r="P155" s="1">
        <f t="shared" si="25"/>
        <v>241.81</v>
      </c>
      <c r="Q155" s="1">
        <f t="shared" si="26"/>
        <v>0</v>
      </c>
    </row>
    <row r="156" spans="1:17" ht="46.5" customHeight="1">
      <c r="A156" s="4" t="s">
        <v>168</v>
      </c>
      <c r="B156" s="3" t="s">
        <v>317</v>
      </c>
      <c r="C156" s="12">
        <f t="shared" si="19"/>
        <v>62.59</v>
      </c>
      <c r="D156" s="12">
        <v>62.59</v>
      </c>
      <c r="E156" s="12">
        <v>0</v>
      </c>
      <c r="F156" s="12">
        <v>0</v>
      </c>
      <c r="G156" s="12">
        <v>0</v>
      </c>
      <c r="H156" s="12">
        <v>0</v>
      </c>
      <c r="I156" s="14">
        <f t="shared" si="20"/>
        <v>62.59</v>
      </c>
      <c r="J156" s="14">
        <f t="shared" si="21"/>
        <v>62.59</v>
      </c>
      <c r="K156" s="14">
        <f t="shared" si="22"/>
        <v>0</v>
      </c>
      <c r="L156" s="14">
        <f t="shared" si="23"/>
        <v>0</v>
      </c>
      <c r="M156" s="14"/>
      <c r="N156" s="14"/>
      <c r="O156" s="1">
        <f t="shared" si="24"/>
        <v>62.59</v>
      </c>
      <c r="P156" s="1">
        <f t="shared" si="25"/>
        <v>62.59</v>
      </c>
      <c r="Q156" s="1">
        <f t="shared" si="26"/>
        <v>0</v>
      </c>
    </row>
    <row r="157" spans="1:17" ht="44.25" customHeight="1">
      <c r="A157" s="4" t="s">
        <v>169</v>
      </c>
      <c r="B157" s="3" t="s">
        <v>316</v>
      </c>
      <c r="C157" s="12">
        <f t="shared" si="19"/>
        <v>85.3</v>
      </c>
      <c r="D157" s="12">
        <v>85.3</v>
      </c>
      <c r="E157" s="12">
        <v>0</v>
      </c>
      <c r="F157" s="12">
        <v>0</v>
      </c>
      <c r="G157" s="12">
        <v>0</v>
      </c>
      <c r="H157" s="12">
        <v>0</v>
      </c>
      <c r="I157" s="14">
        <f t="shared" si="20"/>
        <v>85.3</v>
      </c>
      <c r="J157" s="14">
        <f t="shared" si="21"/>
        <v>85.3</v>
      </c>
      <c r="K157" s="14">
        <f t="shared" si="22"/>
        <v>0</v>
      </c>
      <c r="L157" s="14">
        <f t="shared" si="23"/>
        <v>0</v>
      </c>
      <c r="M157" s="14"/>
      <c r="N157" s="14"/>
      <c r="O157" s="1">
        <f t="shared" si="24"/>
        <v>85.3</v>
      </c>
      <c r="P157" s="1">
        <f t="shared" si="25"/>
        <v>85.3</v>
      </c>
      <c r="Q157" s="1">
        <f t="shared" si="26"/>
        <v>0</v>
      </c>
    </row>
    <row r="158" spans="1:17" ht="44.25" customHeight="1">
      <c r="A158" s="4" t="s">
        <v>170</v>
      </c>
      <c r="B158" s="3" t="s">
        <v>314</v>
      </c>
      <c r="C158" s="12">
        <f t="shared" si="19"/>
        <v>110.5</v>
      </c>
      <c r="D158" s="12">
        <v>110.5</v>
      </c>
      <c r="E158" s="12">
        <v>0</v>
      </c>
      <c r="F158" s="12">
        <v>0</v>
      </c>
      <c r="G158" s="12">
        <v>0</v>
      </c>
      <c r="H158" s="12">
        <v>0</v>
      </c>
      <c r="I158" s="14">
        <f t="shared" si="20"/>
        <v>110.5</v>
      </c>
      <c r="J158" s="14">
        <f t="shared" si="21"/>
        <v>110.5</v>
      </c>
      <c r="K158" s="14">
        <f t="shared" si="22"/>
        <v>0</v>
      </c>
      <c r="L158" s="14">
        <f t="shared" si="23"/>
        <v>0</v>
      </c>
      <c r="M158" s="14"/>
      <c r="N158" s="14"/>
      <c r="O158" s="1">
        <f t="shared" si="24"/>
        <v>110.5</v>
      </c>
      <c r="P158" s="1">
        <f t="shared" si="25"/>
        <v>110.5</v>
      </c>
      <c r="Q158" s="1">
        <f t="shared" si="26"/>
        <v>0</v>
      </c>
    </row>
    <row r="159" spans="1:17" ht="46.5" customHeight="1">
      <c r="A159" s="4" t="s">
        <v>171</v>
      </c>
      <c r="B159" s="3" t="s">
        <v>312</v>
      </c>
      <c r="C159" s="12">
        <f t="shared" si="19"/>
        <v>162.86</v>
      </c>
      <c r="D159" s="12">
        <v>162.86</v>
      </c>
      <c r="E159" s="12">
        <v>0</v>
      </c>
      <c r="F159" s="12">
        <v>0</v>
      </c>
      <c r="G159" s="12">
        <v>0</v>
      </c>
      <c r="H159" s="12">
        <v>0</v>
      </c>
      <c r="I159" s="14">
        <f t="shared" si="20"/>
        <v>162.86</v>
      </c>
      <c r="J159" s="14">
        <f t="shared" si="21"/>
        <v>162.86</v>
      </c>
      <c r="K159" s="14">
        <f t="shared" si="22"/>
        <v>0</v>
      </c>
      <c r="L159" s="14">
        <f t="shared" si="23"/>
        <v>0</v>
      </c>
      <c r="M159" s="14"/>
      <c r="N159" s="14"/>
      <c r="O159" s="1">
        <f t="shared" si="24"/>
        <v>162.86</v>
      </c>
      <c r="P159" s="1">
        <f t="shared" si="25"/>
        <v>162.86</v>
      </c>
      <c r="Q159" s="1">
        <f t="shared" si="26"/>
        <v>0</v>
      </c>
    </row>
    <row r="160" spans="1:17" ht="35.25" customHeight="1">
      <c r="A160" s="4" t="s">
        <v>172</v>
      </c>
      <c r="B160" s="3" t="s">
        <v>13</v>
      </c>
      <c r="C160" s="12">
        <f t="shared" si="19"/>
        <v>61.25</v>
      </c>
      <c r="D160" s="12">
        <v>61.25</v>
      </c>
      <c r="E160" s="12">
        <v>0</v>
      </c>
      <c r="F160" s="12">
        <v>0</v>
      </c>
      <c r="G160" s="12">
        <v>0</v>
      </c>
      <c r="H160" s="12">
        <v>0</v>
      </c>
      <c r="I160" s="14">
        <f t="shared" si="20"/>
        <v>61.25</v>
      </c>
      <c r="J160" s="14">
        <f t="shared" si="21"/>
        <v>61.25</v>
      </c>
      <c r="K160" s="14">
        <f t="shared" si="22"/>
        <v>0</v>
      </c>
      <c r="L160" s="14">
        <f t="shared" si="23"/>
        <v>0</v>
      </c>
      <c r="M160" s="14"/>
      <c r="N160" s="14"/>
      <c r="O160" s="1">
        <f t="shared" si="24"/>
        <v>61.25</v>
      </c>
      <c r="P160" s="1">
        <f t="shared" si="25"/>
        <v>61.25</v>
      </c>
      <c r="Q160" s="1">
        <f t="shared" si="26"/>
        <v>0</v>
      </c>
    </row>
    <row r="161" spans="1:17" ht="34.5" customHeight="1">
      <c r="A161" s="4" t="s">
        <v>173</v>
      </c>
      <c r="B161" s="3" t="s">
        <v>11</v>
      </c>
      <c r="C161" s="12">
        <f t="shared" si="19"/>
        <v>22.6</v>
      </c>
      <c r="D161" s="12">
        <v>22.6</v>
      </c>
      <c r="E161" s="12">
        <v>0</v>
      </c>
      <c r="F161" s="12">
        <v>0</v>
      </c>
      <c r="G161" s="12">
        <v>0</v>
      </c>
      <c r="H161" s="12">
        <v>0</v>
      </c>
      <c r="I161" s="14">
        <f t="shared" si="20"/>
        <v>22.6</v>
      </c>
      <c r="J161" s="14">
        <f t="shared" si="21"/>
        <v>22.6</v>
      </c>
      <c r="K161" s="14">
        <f t="shared" si="22"/>
        <v>0</v>
      </c>
      <c r="L161" s="14">
        <f t="shared" si="23"/>
        <v>0</v>
      </c>
      <c r="M161" s="14"/>
      <c r="N161" s="14"/>
      <c r="O161" s="1">
        <f t="shared" si="24"/>
        <v>22.6</v>
      </c>
      <c r="P161" s="1">
        <f t="shared" si="25"/>
        <v>22.6</v>
      </c>
      <c r="Q161" s="1">
        <f t="shared" si="26"/>
        <v>0</v>
      </c>
    </row>
    <row r="162" spans="1:17" ht="40.5" customHeight="1">
      <c r="A162" s="4" t="s">
        <v>174</v>
      </c>
      <c r="B162" s="3" t="s">
        <v>278</v>
      </c>
      <c r="C162" s="12">
        <f t="shared" si="19"/>
        <v>67.06</v>
      </c>
      <c r="D162" s="12">
        <f>67.16-0.1</f>
        <v>67.06</v>
      </c>
      <c r="E162" s="12">
        <v>0</v>
      </c>
      <c r="F162" s="12">
        <v>0</v>
      </c>
      <c r="G162" s="12">
        <v>0</v>
      </c>
      <c r="H162" s="12">
        <v>0</v>
      </c>
      <c r="I162" s="14">
        <f t="shared" si="20"/>
        <v>67.06</v>
      </c>
      <c r="J162" s="14">
        <f t="shared" si="21"/>
        <v>67.06</v>
      </c>
      <c r="K162" s="14">
        <f t="shared" si="22"/>
        <v>0</v>
      </c>
      <c r="L162" s="14">
        <f t="shared" si="23"/>
        <v>-2</v>
      </c>
      <c r="M162" s="14">
        <v>-2</v>
      </c>
      <c r="N162" s="14"/>
      <c r="O162" s="1">
        <f t="shared" si="24"/>
        <v>65.06</v>
      </c>
      <c r="P162" s="1">
        <f t="shared" si="25"/>
        <v>65.06</v>
      </c>
      <c r="Q162" s="1">
        <f t="shared" si="26"/>
        <v>0</v>
      </c>
    </row>
    <row r="163" spans="1:17" ht="46.5" customHeight="1">
      <c r="A163" s="4" t="s">
        <v>175</v>
      </c>
      <c r="B163" s="3" t="s">
        <v>239</v>
      </c>
      <c r="C163" s="12">
        <f t="shared" si="19"/>
        <v>93.89999999999999</v>
      </c>
      <c r="D163" s="12">
        <v>93.89999999999999</v>
      </c>
      <c r="E163" s="12">
        <v>0</v>
      </c>
      <c r="F163" s="12">
        <v>0</v>
      </c>
      <c r="G163" s="12">
        <v>0</v>
      </c>
      <c r="H163" s="12">
        <v>0</v>
      </c>
      <c r="I163" s="14">
        <f t="shared" si="20"/>
        <v>93.89999999999999</v>
      </c>
      <c r="J163" s="14">
        <f t="shared" si="21"/>
        <v>93.89999999999999</v>
      </c>
      <c r="K163" s="14">
        <f t="shared" si="22"/>
        <v>0</v>
      </c>
      <c r="L163" s="14">
        <f t="shared" si="23"/>
        <v>-3</v>
      </c>
      <c r="M163" s="14">
        <v>-3</v>
      </c>
      <c r="N163" s="14"/>
      <c r="O163" s="1">
        <f t="shared" si="24"/>
        <v>90.89999999999999</v>
      </c>
      <c r="P163" s="1">
        <f t="shared" si="25"/>
        <v>90.89999999999999</v>
      </c>
      <c r="Q163" s="1">
        <f t="shared" si="26"/>
        <v>0</v>
      </c>
    </row>
    <row r="164" spans="1:17" s="20" customFormat="1" ht="41.25">
      <c r="A164" s="17" t="s">
        <v>176</v>
      </c>
      <c r="B164" s="18" t="s">
        <v>286</v>
      </c>
      <c r="C164" s="19">
        <f t="shared" si="19"/>
        <v>173.72</v>
      </c>
      <c r="D164" s="19">
        <f>173.72-0.43+0.43</f>
        <v>173.72</v>
      </c>
      <c r="E164" s="19">
        <v>0</v>
      </c>
      <c r="F164" s="19">
        <v>0</v>
      </c>
      <c r="G164" s="19">
        <v>0</v>
      </c>
      <c r="H164" s="19">
        <v>0</v>
      </c>
      <c r="I164" s="19">
        <f t="shared" si="20"/>
        <v>173.72</v>
      </c>
      <c r="J164" s="19">
        <f t="shared" si="21"/>
        <v>173.72</v>
      </c>
      <c r="K164" s="19">
        <f t="shared" si="22"/>
        <v>0</v>
      </c>
      <c r="L164" s="19">
        <f t="shared" si="23"/>
        <v>1.5</v>
      </c>
      <c r="M164" s="19">
        <v>1.5</v>
      </c>
      <c r="N164" s="19"/>
      <c r="O164" s="20">
        <f t="shared" si="24"/>
        <v>175.22</v>
      </c>
      <c r="P164" s="20">
        <f t="shared" si="25"/>
        <v>175.22</v>
      </c>
      <c r="Q164" s="20">
        <f t="shared" si="26"/>
        <v>0</v>
      </c>
    </row>
    <row r="165" spans="1:17" ht="27.75" customHeight="1">
      <c r="A165" s="4"/>
      <c r="B165" s="6" t="s">
        <v>18</v>
      </c>
      <c r="C165" s="11">
        <f aca="true" t="shared" si="28" ref="C165:Q165">SUM(C5:C164)</f>
        <v>17572.380000000005</v>
      </c>
      <c r="D165" s="11">
        <f t="shared" si="28"/>
        <v>6440.690000000001</v>
      </c>
      <c r="E165" s="11">
        <f t="shared" si="28"/>
        <v>11131.690000000004</v>
      </c>
      <c r="F165" s="11">
        <f t="shared" si="28"/>
        <v>583.8100000000001</v>
      </c>
      <c r="G165" s="11">
        <f t="shared" si="28"/>
        <v>418.36</v>
      </c>
      <c r="H165" s="11">
        <f t="shared" si="28"/>
        <v>165.45</v>
      </c>
      <c r="I165" s="11">
        <f t="shared" si="28"/>
        <v>17560.550000000003</v>
      </c>
      <c r="J165" s="11">
        <f t="shared" si="28"/>
        <v>6427.8600000000015</v>
      </c>
      <c r="K165" s="11">
        <f t="shared" si="28"/>
        <v>11132.690000000004</v>
      </c>
      <c r="L165" s="11">
        <f t="shared" si="28"/>
        <v>385.3500000000002</v>
      </c>
      <c r="M165" s="11">
        <f t="shared" si="28"/>
        <v>-142.89000000000001</v>
      </c>
      <c r="N165" s="11">
        <f t="shared" si="28"/>
        <v>528.2399999999999</v>
      </c>
      <c r="O165" s="11">
        <f t="shared" si="28"/>
        <v>17945.90000000001</v>
      </c>
      <c r="P165" s="11">
        <f t="shared" si="28"/>
        <v>6284.970000000001</v>
      </c>
      <c r="Q165" s="11">
        <f t="shared" si="28"/>
        <v>11660.929999999997</v>
      </c>
    </row>
    <row r="166" spans="2:12" ht="24" customHeight="1" hidden="1">
      <c r="B166" s="8"/>
      <c r="L166" s="14">
        <f t="shared" si="23"/>
        <v>0</v>
      </c>
    </row>
    <row r="167" ht="21" customHeight="1" hidden="1">
      <c r="L167" s="14">
        <f t="shared" si="23"/>
        <v>0</v>
      </c>
    </row>
    <row r="168" ht="23.25" customHeight="1" hidden="1">
      <c r="L168" s="14">
        <f t="shared" si="23"/>
        <v>0</v>
      </c>
    </row>
    <row r="169" ht="18" customHeight="1" hidden="1">
      <c r="L169" s="14">
        <f t="shared" si="23"/>
        <v>0</v>
      </c>
    </row>
    <row r="170" ht="12.75" hidden="1">
      <c r="L170" s="14">
        <f t="shared" si="23"/>
        <v>0</v>
      </c>
    </row>
  </sheetData>
  <sheetProtection/>
  <mergeCells count="14">
    <mergeCell ref="O3:O4"/>
    <mergeCell ref="P3:Q3"/>
    <mergeCell ref="F3:F4"/>
    <mergeCell ref="G3:H3"/>
    <mergeCell ref="I3:I4"/>
    <mergeCell ref="J3:K3"/>
    <mergeCell ref="L3:L4"/>
    <mergeCell ref="M3:N3"/>
    <mergeCell ref="C1:E1"/>
    <mergeCell ref="A2:E2"/>
    <mergeCell ref="C3:C4"/>
    <mergeCell ref="D3:E3"/>
    <mergeCell ref="A3:A4"/>
    <mergeCell ref="B3:B4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 Светлана Михайловна</cp:lastModifiedBy>
  <cp:lastPrinted>2019-12-27T09:36:59Z</cp:lastPrinted>
  <dcterms:created xsi:type="dcterms:W3CDTF">2012-04-11T08:42:06Z</dcterms:created>
  <dcterms:modified xsi:type="dcterms:W3CDTF">2019-12-28T04:50:42Z</dcterms:modified>
  <cp:category/>
  <cp:version/>
  <cp:contentType/>
  <cp:contentStatus/>
</cp:coreProperties>
</file>