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стоим'!$A$12:$Y$379</definedName>
    <definedName name="_xlnm.Print_Titles" localSheetId="0">'сметная стоим'!$7:$12</definedName>
    <definedName name="_xlnm.Print_Area" localSheetId="0">'сметная стоим'!$A$1:$AE$379</definedName>
  </definedNames>
  <calcPr fullCalcOnLoad="1"/>
</workbook>
</file>

<file path=xl/sharedStrings.xml><?xml version="1.0" encoding="utf-8"?>
<sst xmlns="http://schemas.openxmlformats.org/spreadsheetml/2006/main" count="1404" uniqueCount="349">
  <si>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</si>
  <si>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</si>
  <si>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</si>
  <si>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</si>
  <si>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</si>
  <si>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</si>
  <si>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</si>
  <si>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</si>
  <si>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</si>
  <si>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</si>
  <si>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</si>
  <si>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</si>
  <si>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</si>
  <si>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</si>
  <si>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</si>
  <si>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</si>
  <si>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</si>
  <si>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</si>
  <si>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</si>
  <si>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</si>
  <si>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</si>
  <si>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</si>
  <si>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</si>
  <si>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</si>
  <si>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</si>
  <si>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</si>
  <si>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</si>
  <si>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</si>
  <si>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</si>
  <si>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</si>
  <si>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</si>
  <si>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</si>
  <si>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</si>
  <si>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</si>
  <si>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</si>
  <si>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</si>
  <si>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</si>
  <si>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</si>
  <si>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</si>
  <si>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</si>
  <si>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</si>
  <si>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</si>
  <si>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</si>
  <si>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</si>
  <si>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</si>
  <si>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</si>
  <si>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</si>
  <si>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</si>
  <si>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</si>
  <si>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</si>
  <si>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</si>
  <si>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</si>
  <si>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</si>
  <si>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</si>
  <si>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</si>
  <si>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</si>
  <si>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</si>
  <si>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</si>
  <si>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</si>
  <si>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</si>
  <si>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</si>
  <si>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</si>
  <si>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</si>
  <si>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</si>
  <si>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</si>
  <si>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</si>
  <si>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</si>
  <si>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</si>
  <si>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</si>
  <si>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</si>
  <si>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</si>
  <si>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</si>
  <si>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</si>
  <si>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</si>
  <si>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</si>
  <si>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</si>
  <si>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</si>
  <si>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</si>
  <si>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</si>
  <si>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</si>
  <si>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</si>
  <si>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</si>
  <si>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</si>
  <si>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</si>
  <si>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</si>
  <si>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</si>
  <si>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</si>
  <si>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</si>
  <si>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</si>
  <si>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</si>
  <si>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</si>
  <si>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</si>
  <si>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</si>
  <si>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</si>
  <si>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</si>
  <si>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</si>
  <si>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</si>
  <si>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</si>
  <si>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</si>
  <si>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</si>
  <si>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</si>
  <si>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</si>
  <si>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</si>
  <si>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</si>
  <si>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</si>
  <si>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</si>
  <si>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</si>
  <si>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</si>
  <si>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</si>
  <si>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</si>
  <si>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</si>
  <si>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</si>
  <si>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</si>
  <si>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</si>
  <si>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</si>
  <si>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</si>
  <si>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</si>
  <si>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</si>
  <si>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</si>
  <si>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</si>
  <si>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</si>
  <si>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</si>
  <si>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</si>
  <si>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</si>
  <si>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</si>
  <si>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</si>
  <si>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>Строительство сетей водоснабжения в с. Дзержинское муниципального образования "Город Томск"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</si>
  <si>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</si>
  <si>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</si>
  <si>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</si>
  <si>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</si>
  <si>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</si>
  <si>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</si>
  <si>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</si>
  <si>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</si>
  <si>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Строительство объекта: "Организация централизованного водоснабжения для жителей жилых домов № 1 ,2, 3, 4 по ул. Мелиоративная в пос. Предтеченск (решение суда)"</t>
  </si>
  <si>
    <t>2020</t>
  </si>
  <si>
    <t>32</t>
  </si>
  <si>
    <t>33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</si>
  <si>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</si>
  <si>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 xml:space="preserve"> технологическое присоединение энергопринимающих устройств</t>
  </si>
  <si>
    <t>Приложение 3 к подпрограмме "Развитие инженерной инфраструктуры на 2015-2025 годы"</t>
  </si>
  <si>
    <t>2021 год</t>
  </si>
  <si>
    <t>2022 год</t>
  </si>
  <si>
    <t>2023 год</t>
  </si>
  <si>
    <t>2024 год</t>
  </si>
  <si>
    <t>2025 год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</si>
  <si>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</si>
  <si>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</si>
  <si>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</si>
  <si>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>Технологическое присоединение к сетям водоснабжения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</si>
  <si>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</t>
  </si>
  <si>
    <t xml:space="preserve">с. Дзержинское                                                                                ул.Малая Больничная, пер.Дзержинский       </t>
  </si>
  <si>
    <t>0,52
1,095</t>
  </si>
  <si>
    <t>ул. Севастопольская, 11, 15, 17, 19, пер. Добролюбова, 20-49</t>
  </si>
  <si>
    <t>2022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</si>
  <si>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</si>
  <si>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2023</t>
  </si>
  <si>
    <t>Строительство сетей водоснабжения в районе п. Светлый (мкр. Народный, мкр. Реженка, ж.д. ст. Копылово)</t>
  </si>
  <si>
    <t>тех. присоединение</t>
  </si>
  <si>
    <t>2021</t>
  </si>
  <si>
    <t>ул. 2-ой пос.ЛПК, 109/1</t>
  </si>
  <si>
    <t xml:space="preserve">Технологическое присоединение к сетям водоснабжения </t>
  </si>
  <si>
    <t>пос.Росинка, ул.Благовещенская, ул.Озёрная</t>
  </si>
  <si>
    <t>2024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</si>
  <si>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</si>
  <si>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</si>
  <si>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</si>
  <si>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пер.Анжерский; ул. Ангарская (от ул.Ялтинская до пер. Чаинский, ул. Грибоедова, пер. Радищева)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</si>
  <si>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</si>
  <si>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</si>
  <si>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</si>
  <si>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</si>
  <si>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</si>
  <si>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</si>
  <si>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2025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</si>
  <si>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</si>
  <si>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</si>
  <si>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</si>
  <si>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</si>
  <si>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</si>
  <si>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</si>
  <si>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</si>
  <si>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</si>
  <si>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</si>
  <si>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</si>
  <si>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</si>
  <si>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</si>
  <si>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</si>
  <si>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</si>
  <si>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</si>
  <si>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</si>
  <si>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</si>
  <si>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</si>
  <si>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</si>
  <si>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</si>
  <si>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</si>
  <si>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</si>
  <si>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</si>
  <si>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</si>
  <si>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</si>
  <si>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</si>
  <si>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</si>
  <si>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</si>
  <si>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</si>
  <si>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</si>
  <si>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</si>
  <si>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</si>
  <si>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</si>
  <si>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</si>
  <si>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</si>
  <si>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</si>
  <si>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</si>
  <si>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</si>
  <si>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</si>
  <si>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</si>
  <si>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</si>
  <si>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</si>
  <si>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</si>
  <si>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</si>
  <si>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</si>
  <si>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</si>
  <si>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</si>
  <si>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</si>
  <si>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</si>
  <si>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</si>
  <si>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</si>
  <si>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</si>
  <si>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</si>
  <si>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</si>
  <si>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</si>
  <si>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</si>
  <si>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</si>
  <si>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</si>
  <si>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</si>
  <si>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</si>
  <si>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</si>
  <si>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</si>
  <si>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</si>
  <si>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</si>
  <si>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</si>
  <si>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</si>
  <si>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</si>
  <si>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</si>
  <si>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</si>
  <si>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</si>
  <si>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</si>
  <si>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</si>
  <si>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</si>
  <si>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</si>
  <si>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</si>
  <si>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</si>
  <si>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</si>
  <si>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водовода 9а в г.Томске, втом числе приобритение проектной документации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</si>
  <si>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</si>
  <si>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локальных очистных сооружений по ул.Логовая, ул.Фабричная в с.Дзержинское</t>
  </si>
  <si>
    <t>2 шт.</t>
  </si>
  <si>
    <t xml:space="preserve">Техническое перевооружение канализационно-насосной станции по ул. Угрюмова, 4а в г. Томске </t>
  </si>
  <si>
    <t>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</si>
  <si>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</si>
  <si>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</si>
  <si>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Сети канализации по ул. Бакунина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</si>
  <si>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</si>
  <si>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</si>
  <si>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Строительство ливневого коллектора по пер. Школьному</t>
  </si>
  <si>
    <t>Инженерная защита от подтоплений территории "Татарская слобода"</t>
  </si>
  <si>
    <t>Реконструкция дренажа по пер. Красноармейскому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</si>
  <si>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</si>
  <si>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</si>
  <si>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Реконструкция дренажной системы мкр. Черемошники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</si>
  <si>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</si>
  <si>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</si>
  <si>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</si>
  <si>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</si>
  <si>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Строительство ливневого коллектора по ул. Ломоносова от ул. Калужской до ул. Энергетиков</t>
  </si>
  <si>
    <t>Строительство сетей ливневой канализации по ул. Технической, пер. Ближнему в г. Томске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</si>
  <si>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</si>
  <si>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</si>
  <si>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</si>
  <si>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</si>
  <si>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</si>
  <si>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</si>
  <si>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</si>
  <si>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</si>
  <si>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</si>
  <si>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Переподключение жилых домов, запитанных от котельной по ул. Водяная, 80 на сети центрального теплоснабжения</t>
  </si>
  <si>
    <t>Переключение жилых домов,  от котельной ЗАО "Красная Звезда" на сети центрального теплоснабжения</t>
  </si>
  <si>
    <t>технологическое присоединение</t>
  </si>
  <si>
    <t>Организация теплоснабжения жилых домов блочного типа по ул. Новая в ж.д. станция Копылова</t>
  </si>
  <si>
    <t>Реконструкция тепловых сетей, расположеннных по пр. Комсомольский, 39т в г. Томске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</si>
  <si>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</si>
  <si>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</si>
  <si>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</si>
  <si>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Сметная стоимость объекта капитального строительства, тыс. руб. *</t>
  </si>
  <si>
    <t xml:space="preserve">* Включает в себя все виды бюджетных инвестиций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</si>
  <si>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</si>
  <si>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</si>
  <si>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Водоснабжение пос. Залесье</t>
  </si>
  <si>
    <t xml:space="preserve">ул. Шпальная, ул. Строевая, пер. Строительный, пер. Ангарский, ул. Бийская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</si>
  <si>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</si>
  <si>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дер. Киргизка</t>
  </si>
  <si>
    <t>ул. Залоговая</t>
  </si>
  <si>
    <t>ул. Юргинская</t>
  </si>
  <si>
    <t>Строительство канализационных очистных сооружений в д. Лоскутово (решение судов)</t>
  </si>
  <si>
    <t>выкуп ПСД</t>
  </si>
  <si>
    <t xml:space="preserve">Мероприятия по приведению качества питьевой воды от одиночных скважин в соответствии с установленными требованиями 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</si>
  <si>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</si>
  <si>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Переключение мкр. Академгородок на сети централизованного водоснабжения (технологическое присоединение)</t>
  </si>
  <si>
    <t>технический план сооружения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</si>
  <si>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 1 пусковой комплекс. 
Строительство канализационного коллектора по ул. Б. Подгорная от ул. Дальне-Ключевская до главной насосной станции (далее - ГНС); . 2 пусковой комплекс.
Строительство канализационного коллектора по
ул. Дальне-Ключевская до ул. Б-Подгорная
3 пусковой комплекс. 
Строительство канализационного коллектора от пер. Светлого до ул. Первомайской.
2 этап строительства, в том числе 1 пусковой комплекс. 
Строительство канализационной насосной станции 4а по строительному адресу: 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 Строительство канализационного коллектора Ду =1400мм по ул. Алтайской от ул. Гоголя до КНС - 4а
</t>
  </si>
  <si>
    <t>Реконструкция КНС-4 и строительство канализационных коллекторов</t>
  </si>
  <si>
    <t>1350 куб.м/сут.</t>
  </si>
  <si>
    <t>Жилищное строительство территории, расположенной по адресу: г. Томск Кузовлевский тракт 2б (сети канализации)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</si>
  <si>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</si>
  <si>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</si>
  <si>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связи)</t>
  </si>
  <si>
    <t>10</t>
  </si>
  <si>
    <t>11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</si>
  <si>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</si>
  <si>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</si>
  <si>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</si>
  <si>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</si>
  <si>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</si>
  <si>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</si>
  <si>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</si>
  <si>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</si>
  <si>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</si>
  <si>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</si>
  <si>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</si>
  <si>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34</t>
  </si>
  <si>
    <t>35</t>
  </si>
  <si>
    <t>36</t>
  </si>
  <si>
    <t>37</t>
  </si>
  <si>
    <t>38</t>
  </si>
  <si>
    <t>39</t>
  </si>
  <si>
    <t>40</t>
  </si>
  <si>
    <t xml:space="preserve">      -</t>
  </si>
  <si>
    <t xml:space="preserve">  -</t>
  </si>
  <si>
    <t xml:space="preserve">        -</t>
  </si>
  <si>
    <t xml:space="preserve">   -</t>
  </si>
  <si>
    <t xml:space="preserve">     -</t>
  </si>
  <si>
    <t xml:space="preserve">    -</t>
  </si>
  <si>
    <t xml:space="preserve">                -</t>
  </si>
  <si>
    <t xml:space="preserve">           -</t>
  </si>
  <si>
    <t xml:space="preserve">       -</t>
  </si>
  <si>
    <t>Строительство ливневой канализации по адресу: г.Томск, ул. Бирюкова, 6</t>
  </si>
  <si>
    <t>2019
2021</t>
  </si>
  <si>
    <t>ул.2-ая Лесная</t>
  </si>
  <si>
    <r>
      <t xml:space="preserve"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</t>
    </r>
    <r>
      <rPr>
        <u val="single"/>
        <sz val="14"/>
        <color indexed="10"/>
        <rFont val="Times New Roman"/>
        <family val="1"/>
      </rPr>
      <t>Сети электроснабжения"</t>
    </r>
    <r>
      <rPr>
        <sz val="14"/>
        <color indexed="10"/>
        <rFont val="Times New Roman"/>
        <family val="1"/>
      </rPr>
      <t xml:space="preserve"> Софинансирование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</si>
</sst>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172" fontId="4" fillId="0" borderId="2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172" fontId="4" fillId="0" borderId="34" xfId="0" applyNumberFormat="1" applyFont="1" applyFill="1" applyBorder="1" applyAlignment="1">
      <alignment horizontal="center" vertical="center" wrapText="1"/>
    </xf>
    <xf numFmtId="172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72" fontId="4" fillId="0" borderId="3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172" fontId="4" fillId="0" borderId="39" xfId="0" applyNumberFormat="1" applyFont="1" applyFill="1" applyBorder="1" applyAlignment="1">
      <alignment horizontal="center" vertical="center" wrapText="1"/>
    </xf>
    <xf numFmtId="172" fontId="4" fillId="0" borderId="40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2" fontId="48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36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172" fontId="4" fillId="0" borderId="46" xfId="0" applyNumberFormat="1" applyFont="1" applyFill="1" applyBorder="1" applyAlignment="1">
      <alignment horizontal="center" vertical="center" wrapText="1"/>
    </xf>
    <xf numFmtId="172" fontId="4" fillId="0" borderId="47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left" vertical="top" wrapText="1"/>
    </xf>
    <xf numFmtId="0" fontId="4" fillId="0" borderId="48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2" fontId="4" fillId="0" borderId="49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left" vertical="center" wrapText="1"/>
    </xf>
    <xf numFmtId="172" fontId="6" fillId="0" borderId="0" xfId="0" applyNumberFormat="1" applyFont="1" applyFill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172" fontId="48" fillId="33" borderId="14" xfId="0" applyNumberFormat="1" applyFont="1" applyFill="1" applyBorder="1" applyAlignment="1">
      <alignment horizontal="center" vertical="center" wrapText="1"/>
    </xf>
    <xf numFmtId="172" fontId="48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172" fontId="48" fillId="33" borderId="17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172" fontId="48" fillId="33" borderId="3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  <xf numFmtId="0" fontId="48" fillId="33" borderId="14" xfId="0" applyFont="1" applyFill="1" applyBorder="1" applyAlignment="1">
      <alignment horizontal="center" vertical="center" wrapText="1"/>
    </xf>
    <xf numFmtId="172" fontId="48" fillId="33" borderId="40" xfId="0" applyNumberFormat="1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38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38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172" fontId="48" fillId="33" borderId="13" xfId="0" applyNumberFormat="1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25" xfId="0" applyNumberFormat="1" applyFont="1" applyFill="1" applyBorder="1" applyAlignment="1">
      <alignment horizontal="center" vertical="center" wrapText="1"/>
    </xf>
    <xf numFmtId="172" fontId="48" fillId="33" borderId="30" xfId="0" applyNumberFormat="1" applyFont="1" applyFill="1" applyBorder="1" applyAlignment="1">
      <alignment horizontal="center" vertical="center" wrapText="1"/>
    </xf>
    <xf numFmtId="172" fontId="48" fillId="33" borderId="3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172" fontId="48" fillId="33" borderId="39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72" fontId="48" fillId="33" borderId="26" xfId="0" applyNumberFormat="1" applyFont="1" applyFill="1" applyBorder="1" applyAlignment="1">
      <alignment horizontal="center" vertical="center" wrapText="1"/>
    </xf>
    <xf numFmtId="172" fontId="48" fillId="33" borderId="41" xfId="0" applyNumberFormat="1" applyFont="1" applyFill="1" applyBorder="1" applyAlignment="1">
      <alignment horizontal="center" vertical="center" wrapText="1"/>
    </xf>
    <xf numFmtId="172" fontId="48" fillId="33" borderId="15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top" wrapText="1"/>
    </xf>
    <xf numFmtId="4" fontId="48" fillId="33" borderId="15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4" fontId="49" fillId="33" borderId="23" xfId="0" applyNumberFormat="1" applyFont="1" applyFill="1" applyBorder="1" applyAlignment="1">
      <alignment horizontal="center" vertical="center" wrapText="1"/>
    </xf>
    <xf numFmtId="172" fontId="48" fillId="33" borderId="49" xfId="0" applyNumberFormat="1" applyFont="1" applyFill="1" applyBorder="1" applyAlignment="1">
      <alignment horizontal="center" vertical="center" wrapText="1"/>
    </xf>
    <xf numFmtId="172" fontId="48" fillId="33" borderId="27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center" vertical="top" wrapText="1"/>
    </xf>
    <xf numFmtId="4" fontId="48" fillId="33" borderId="29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172" fontId="48" fillId="34" borderId="15" xfId="0" applyNumberFormat="1" applyFont="1" applyFill="1" applyBorder="1" applyAlignment="1">
      <alignment horizontal="center" vertical="center" wrapText="1"/>
    </xf>
    <xf numFmtId="4" fontId="49" fillId="34" borderId="15" xfId="0" applyNumberFormat="1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2" fontId="48" fillId="33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8" fillId="33" borderId="12" xfId="0" applyNumberFormat="1" applyFont="1" applyFill="1" applyBorder="1" applyAlignment="1">
      <alignment horizontal="center" vertical="center" wrapText="1"/>
    </xf>
    <xf numFmtId="172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9" fontId="48" fillId="33" borderId="42" xfId="0" applyNumberFormat="1" applyFont="1" applyFill="1" applyBorder="1" applyAlignment="1">
      <alignment horizontal="center" vertical="center" wrapText="1"/>
    </xf>
    <xf numFmtId="49" fontId="48" fillId="33" borderId="28" xfId="0" applyNumberFormat="1" applyFont="1" applyFill="1" applyBorder="1" applyAlignment="1">
      <alignment horizontal="center" vertical="center" wrapText="1"/>
    </xf>
    <xf numFmtId="49" fontId="48" fillId="33" borderId="50" xfId="0" applyNumberFormat="1" applyFont="1" applyFill="1" applyBorder="1" applyAlignment="1">
      <alignment horizontal="left" vertical="center" wrapText="1"/>
    </xf>
    <xf numFmtId="49" fontId="48" fillId="33" borderId="12" xfId="0" applyNumberFormat="1" applyFont="1" applyFill="1" applyBorder="1" applyAlignment="1">
      <alignment horizontal="left" vertical="center" wrapText="1"/>
    </xf>
    <xf numFmtId="49" fontId="48" fillId="33" borderId="13" xfId="0" applyNumberFormat="1" applyFont="1" applyFill="1" applyBorder="1" applyAlignment="1">
      <alignment horizontal="left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48" fillId="33" borderId="3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" fontId="48" fillId="33" borderId="50" xfId="0" applyNumberFormat="1" applyFont="1" applyFill="1" applyBorder="1" applyAlignment="1">
      <alignment horizontal="left" vertical="top" wrapText="1"/>
    </xf>
    <xf numFmtId="4" fontId="48" fillId="33" borderId="13" xfId="0" applyNumberFormat="1" applyFont="1" applyFill="1" applyBorder="1" applyAlignment="1">
      <alignment horizontal="left" vertical="top" wrapText="1"/>
    </xf>
    <xf numFmtId="49" fontId="48" fillId="33" borderId="56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9" fontId="4" fillId="0" borderId="5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72" fontId="48" fillId="34" borderId="13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72" fontId="50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7"/>
  <sheetViews>
    <sheetView tabSelected="1" zoomScale="40" zoomScaleNormal="40" zoomScalePageLayoutView="0" workbookViewId="0" topLeftCell="A356">
      <selection activeCell="L393" sqref="L393"/>
    </sheetView>
  </sheetViews>
  <sheetFormatPr defaultColWidth="9.140625" defaultRowHeight="12.75"/>
  <cols>
    <col min="1" max="1" width="8.7109375" style="116" customWidth="1"/>
    <col min="2" max="2" width="64.7109375" style="32" customWidth="1"/>
    <col min="3" max="3" width="38.421875" style="114" customWidth="1"/>
    <col min="4" max="4" width="21.140625" style="32" customWidth="1"/>
    <col min="5" max="5" width="20.00390625" style="32" customWidth="1"/>
    <col min="6" max="6" width="17.140625" style="32" customWidth="1"/>
    <col min="7" max="7" width="17.57421875" style="32" customWidth="1"/>
    <col min="8" max="8" width="23.421875" style="32" customWidth="1"/>
    <col min="9" max="9" width="20.140625" style="32" customWidth="1"/>
    <col min="10" max="10" width="19.7109375" style="32" customWidth="1"/>
    <col min="11" max="11" width="20.140625" style="32" customWidth="1"/>
    <col min="12" max="12" width="19.57421875" style="32" customWidth="1"/>
    <col min="13" max="13" width="20.421875" style="32" customWidth="1"/>
    <col min="14" max="14" width="20.00390625" style="32" customWidth="1"/>
    <col min="15" max="15" width="19.28125" style="1" customWidth="1"/>
    <col min="16" max="16" width="24.7109375" style="1" customWidth="1"/>
    <col min="17" max="17" width="26.7109375" style="1" customWidth="1"/>
    <col min="18" max="18" width="26.28125" style="1" customWidth="1"/>
    <col min="19" max="19" width="22.7109375" style="1" customWidth="1"/>
    <col min="20" max="20" width="22.421875" style="32" customWidth="1"/>
    <col min="21" max="21" width="20.57421875" style="32" customWidth="1"/>
    <col min="22" max="22" width="23.421875" style="32" customWidth="1"/>
    <col min="23" max="23" width="20.7109375" style="32" customWidth="1"/>
    <col min="24" max="24" width="18.140625" style="32" customWidth="1"/>
    <col min="25" max="25" width="23.00390625" style="32" customWidth="1"/>
    <col min="26" max="26" width="20.00390625" style="32" customWidth="1"/>
    <col min="27" max="27" width="16.00390625" style="32" customWidth="1"/>
    <col min="28" max="28" width="17.57421875" style="32" customWidth="1"/>
    <col min="29" max="29" width="15.28125" style="32" customWidth="1"/>
    <col min="30" max="30" width="12.7109375" style="32" customWidth="1"/>
    <col min="31" max="31" width="13.8515625" style="32" customWidth="1"/>
    <col min="32" max="16384" width="9.140625" style="32" customWidth="1"/>
  </cols>
  <sheetData>
    <row r="1" spans="1:23" ht="21" customHeight="1">
      <c r="A1" s="28"/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T1" s="29"/>
      <c r="U1" s="29"/>
      <c r="V1" s="257"/>
      <c r="W1" s="257"/>
    </row>
    <row r="2" spans="1:23" ht="76.5" customHeight="1">
      <c r="A2" s="28"/>
      <c r="B2" s="29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T2" s="29"/>
      <c r="U2" s="29"/>
      <c r="V2" s="257"/>
      <c r="W2" s="257"/>
    </row>
    <row r="3" spans="1:9" ht="20.25" customHeight="1">
      <c r="A3" s="258"/>
      <c r="B3" s="258"/>
      <c r="C3" s="258"/>
      <c r="D3" s="258"/>
      <c r="E3" s="258"/>
      <c r="F3" s="258"/>
      <c r="G3" s="258"/>
      <c r="H3" s="258"/>
      <c r="I3" s="258"/>
    </row>
    <row r="4" spans="1:31" ht="99.75" customHeight="1">
      <c r="A4" s="258"/>
      <c r="B4" s="258"/>
      <c r="C4" s="258"/>
      <c r="D4" s="258"/>
      <c r="E4" s="258"/>
      <c r="F4" s="258"/>
      <c r="G4" s="258"/>
      <c r="H4" s="258"/>
      <c r="I4" s="258"/>
      <c r="AA4" s="252" t="s">
        <v>141</v>
      </c>
      <c r="AB4" s="252"/>
      <c r="AC4" s="252"/>
      <c r="AD4" s="252"/>
      <c r="AE4" s="252"/>
    </row>
    <row r="5" spans="1:25" ht="33" customHeight="1">
      <c r="A5" s="259" t="s">
        <v>88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</row>
    <row r="6" spans="1:31" ht="34.5" customHeight="1" thickBot="1">
      <c r="A6" s="256"/>
      <c r="B6" s="256"/>
      <c r="C6" s="256"/>
      <c r="D6" s="256"/>
      <c r="E6" s="256"/>
      <c r="F6" s="256"/>
      <c r="G6" s="256"/>
      <c r="H6" s="256"/>
      <c r="I6" s="256"/>
      <c r="J6" s="33"/>
      <c r="K6" s="33"/>
      <c r="L6" s="33"/>
      <c r="M6" s="33"/>
      <c r="N6" s="33"/>
      <c r="O6" s="21"/>
      <c r="P6" s="21"/>
      <c r="Q6" s="21"/>
      <c r="R6" s="21"/>
      <c r="S6" s="21"/>
      <c r="T6" s="33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57.75" customHeight="1">
      <c r="A7" s="268" t="s">
        <v>0</v>
      </c>
      <c r="B7" s="250" t="s">
        <v>1</v>
      </c>
      <c r="C7" s="270" t="s">
        <v>2</v>
      </c>
      <c r="D7" s="250" t="s">
        <v>3</v>
      </c>
      <c r="E7" s="250" t="s">
        <v>4</v>
      </c>
      <c r="F7" s="250" t="s">
        <v>6</v>
      </c>
      <c r="G7" s="250" t="s">
        <v>11</v>
      </c>
      <c r="H7" s="250" t="s">
        <v>293</v>
      </c>
      <c r="I7" s="174" t="s">
        <v>39</v>
      </c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275" t="s">
        <v>15</v>
      </c>
      <c r="U7" s="250" t="s">
        <v>40</v>
      </c>
      <c r="V7" s="250"/>
      <c r="W7" s="250"/>
      <c r="X7" s="250"/>
      <c r="Y7" s="250"/>
      <c r="Z7" s="250"/>
      <c r="AA7" s="250"/>
      <c r="AB7" s="250"/>
      <c r="AC7" s="250"/>
      <c r="AD7" s="250"/>
      <c r="AE7" s="254"/>
    </row>
    <row r="8" spans="1:31" ht="26.25" customHeight="1">
      <c r="A8" s="269"/>
      <c r="B8" s="251"/>
      <c r="C8" s="271"/>
      <c r="D8" s="251"/>
      <c r="E8" s="251"/>
      <c r="F8" s="251"/>
      <c r="G8" s="251"/>
      <c r="H8" s="251"/>
      <c r="I8" s="177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276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5"/>
    </row>
    <row r="9" spans="1:31" ht="22.5" customHeight="1">
      <c r="A9" s="269"/>
      <c r="B9" s="251"/>
      <c r="C9" s="271"/>
      <c r="D9" s="251"/>
      <c r="E9" s="251"/>
      <c r="F9" s="251"/>
      <c r="G9" s="251"/>
      <c r="H9" s="251"/>
      <c r="I9" s="177"/>
      <c r="J9" s="178"/>
      <c r="K9" s="178"/>
      <c r="L9" s="178"/>
      <c r="M9" s="178"/>
      <c r="N9" s="178"/>
      <c r="O9" s="178"/>
      <c r="P9" s="178"/>
      <c r="Q9" s="178"/>
      <c r="R9" s="178"/>
      <c r="S9" s="179"/>
      <c r="T9" s="276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5"/>
    </row>
    <row r="10" spans="1:31" ht="6" customHeight="1">
      <c r="A10" s="269"/>
      <c r="B10" s="251"/>
      <c r="C10" s="271"/>
      <c r="D10" s="251"/>
      <c r="E10" s="251"/>
      <c r="F10" s="251"/>
      <c r="G10" s="251"/>
      <c r="H10" s="251"/>
      <c r="I10" s="180"/>
      <c r="J10" s="181"/>
      <c r="K10" s="181"/>
      <c r="L10" s="181"/>
      <c r="M10" s="181"/>
      <c r="N10" s="181"/>
      <c r="O10" s="181"/>
      <c r="P10" s="181"/>
      <c r="Q10" s="181"/>
      <c r="R10" s="181"/>
      <c r="S10" s="182"/>
      <c r="T10" s="276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5"/>
    </row>
    <row r="11" spans="1:31" ht="85.5" customHeight="1">
      <c r="A11" s="269"/>
      <c r="B11" s="251"/>
      <c r="C11" s="271"/>
      <c r="D11" s="251"/>
      <c r="E11" s="251"/>
      <c r="F11" s="251"/>
      <c r="G11" s="251"/>
      <c r="H11" s="251"/>
      <c r="I11" s="34" t="s">
        <v>13</v>
      </c>
      <c r="J11" s="34" t="s">
        <v>14</v>
      </c>
      <c r="K11" s="34" t="s">
        <v>16</v>
      </c>
      <c r="L11" s="34" t="s">
        <v>37</v>
      </c>
      <c r="M11" s="34" t="s">
        <v>38</v>
      </c>
      <c r="N11" s="34" t="s">
        <v>121</v>
      </c>
      <c r="O11" s="2" t="s">
        <v>142</v>
      </c>
      <c r="P11" s="2" t="s">
        <v>143</v>
      </c>
      <c r="Q11" s="2" t="s">
        <v>144</v>
      </c>
      <c r="R11" s="2" t="s">
        <v>145</v>
      </c>
      <c r="S11" s="36" t="s">
        <v>146</v>
      </c>
      <c r="T11" s="276"/>
      <c r="U11" s="37" t="s">
        <v>13</v>
      </c>
      <c r="V11" s="37" t="s">
        <v>14</v>
      </c>
      <c r="W11" s="37" t="s">
        <v>16</v>
      </c>
      <c r="X11" s="37" t="s">
        <v>37</v>
      </c>
      <c r="Y11" s="37" t="s">
        <v>38</v>
      </c>
      <c r="Z11" s="35" t="s">
        <v>121</v>
      </c>
      <c r="AA11" s="37" t="s">
        <v>142</v>
      </c>
      <c r="AB11" s="37" t="s">
        <v>143</v>
      </c>
      <c r="AC11" s="37" t="s">
        <v>144</v>
      </c>
      <c r="AD11" s="37" t="s">
        <v>145</v>
      </c>
      <c r="AE11" s="38" t="s">
        <v>146</v>
      </c>
    </row>
    <row r="12" spans="1:31" ht="19.5" thickBot="1">
      <c r="A12" s="39">
        <v>1</v>
      </c>
      <c r="B12" s="40">
        <v>2</v>
      </c>
      <c r="C12" s="41">
        <v>3</v>
      </c>
      <c r="D12" s="42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</row>
    <row r="13" spans="1:31" ht="37.5">
      <c r="A13" s="210" t="s">
        <v>48</v>
      </c>
      <c r="B13" s="214" t="s">
        <v>35</v>
      </c>
      <c r="C13" s="44" t="s">
        <v>8</v>
      </c>
      <c r="D13" s="217" t="s">
        <v>5</v>
      </c>
      <c r="E13" s="217" t="s">
        <v>5</v>
      </c>
      <c r="F13" s="217"/>
      <c r="G13" s="217">
        <v>2016</v>
      </c>
      <c r="H13" s="228">
        <f>I13+J13+K13+L13+M13+I14+J14+K14+L14+M14+N13+O13+P13+Q13+R13+S13+O14+P14+Q14+R14+S14</f>
        <v>2812.1</v>
      </c>
      <c r="I13" s="46">
        <v>2472.1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22"/>
      <c r="P13" s="22"/>
      <c r="Q13" s="22"/>
      <c r="R13" s="22"/>
      <c r="S13" s="47"/>
      <c r="T13" s="48">
        <f>U13+V13+W13+X13+Y13+Z13</f>
        <v>2472.1</v>
      </c>
      <c r="U13" s="46">
        <v>2472.1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3"/>
      <c r="AB13" s="43"/>
      <c r="AC13" s="43"/>
      <c r="AD13" s="43"/>
      <c r="AE13" s="49"/>
    </row>
    <row r="14" spans="1:31" ht="33" customHeight="1" thickBot="1">
      <c r="A14" s="212"/>
      <c r="B14" s="216"/>
      <c r="C14" s="15" t="s">
        <v>33</v>
      </c>
      <c r="D14" s="218"/>
      <c r="E14" s="218"/>
      <c r="F14" s="218"/>
      <c r="G14" s="218"/>
      <c r="H14" s="207"/>
      <c r="I14" s="19">
        <v>340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23"/>
      <c r="P14" s="23"/>
      <c r="Q14" s="23"/>
      <c r="R14" s="23"/>
      <c r="S14" s="52"/>
      <c r="T14" s="53">
        <f aca="true" t="shared" si="0" ref="T14:T92">U14+V14+W14+X14+Y14+Z14</f>
        <v>340</v>
      </c>
      <c r="U14" s="19">
        <v>340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51"/>
      <c r="AB14" s="51"/>
      <c r="AC14" s="51"/>
      <c r="AD14" s="51"/>
      <c r="AE14" s="54"/>
    </row>
    <row r="15" spans="1:31" ht="39" customHeight="1">
      <c r="A15" s="183" t="s">
        <v>24</v>
      </c>
      <c r="B15" s="185" t="s">
        <v>41</v>
      </c>
      <c r="C15" s="45" t="s">
        <v>33</v>
      </c>
      <c r="D15" s="187" t="s">
        <v>5</v>
      </c>
      <c r="E15" s="187" t="s">
        <v>5</v>
      </c>
      <c r="F15" s="192">
        <f>12704/1000</f>
        <v>12.704</v>
      </c>
      <c r="G15" s="45" t="s">
        <v>75</v>
      </c>
      <c r="H15" s="22">
        <f>SUM(I15:S15)</f>
        <v>0</v>
      </c>
      <c r="I15" s="22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22"/>
      <c r="P15" s="22"/>
      <c r="Q15" s="22"/>
      <c r="R15" s="22"/>
      <c r="S15" s="47"/>
      <c r="T15" s="48">
        <f t="shared" si="0"/>
        <v>50</v>
      </c>
      <c r="U15" s="46">
        <v>50</v>
      </c>
      <c r="V15" s="46">
        <v>0</v>
      </c>
      <c r="W15" s="46">
        <v>0</v>
      </c>
      <c r="X15" s="46">
        <v>0</v>
      </c>
      <c r="Y15" s="46">
        <v>0</v>
      </c>
      <c r="Z15" s="55">
        <v>0</v>
      </c>
      <c r="AA15" s="43"/>
      <c r="AB15" s="43"/>
      <c r="AC15" s="43"/>
      <c r="AD15" s="43"/>
      <c r="AE15" s="49"/>
    </row>
    <row r="16" spans="1:31" ht="38.25" thickBot="1">
      <c r="A16" s="184"/>
      <c r="B16" s="186"/>
      <c r="C16" s="18" t="s">
        <v>8</v>
      </c>
      <c r="D16" s="188"/>
      <c r="E16" s="188"/>
      <c r="F16" s="194"/>
      <c r="G16" s="18" t="s">
        <v>136</v>
      </c>
      <c r="H16" s="5">
        <f>SUM(I16:S16)</f>
        <v>65667.7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65667.7</v>
      </c>
      <c r="O16" s="17"/>
      <c r="P16" s="17"/>
      <c r="Q16" s="17"/>
      <c r="R16" s="17"/>
      <c r="S16" s="58"/>
      <c r="T16" s="59">
        <f>SUM(U16:AE16)</f>
        <v>0</v>
      </c>
      <c r="U16" s="5"/>
      <c r="V16" s="5"/>
      <c r="W16" s="5"/>
      <c r="X16" s="5"/>
      <c r="Y16" s="5"/>
      <c r="Z16" s="60"/>
      <c r="AA16" s="57"/>
      <c r="AB16" s="57"/>
      <c r="AC16" s="57"/>
      <c r="AD16" s="57"/>
      <c r="AE16" s="61"/>
    </row>
    <row r="17" spans="1:31" ht="62.25" customHeight="1" thickBot="1">
      <c r="A17" s="56" t="s">
        <v>49</v>
      </c>
      <c r="B17" s="57" t="s">
        <v>105</v>
      </c>
      <c r="C17" s="16" t="s">
        <v>8</v>
      </c>
      <c r="D17" s="16" t="s">
        <v>5</v>
      </c>
      <c r="E17" s="16" t="s">
        <v>5</v>
      </c>
      <c r="F17" s="16">
        <f>1287/1000</f>
        <v>1.287</v>
      </c>
      <c r="G17" s="16">
        <v>2017</v>
      </c>
      <c r="H17" s="17">
        <f>SUM(I17:S17)</f>
        <v>12731.599999999999</v>
      </c>
      <c r="I17" s="17">
        <v>0</v>
      </c>
      <c r="J17" s="5">
        <v>0</v>
      </c>
      <c r="K17" s="5">
        <f>4672.7+13942.4-4743.8-1139.7</f>
        <v>12731.599999999999</v>
      </c>
      <c r="L17" s="5">
        <v>0</v>
      </c>
      <c r="M17" s="5">
        <v>0</v>
      </c>
      <c r="N17" s="5">
        <v>0</v>
      </c>
      <c r="O17" s="17"/>
      <c r="P17" s="17"/>
      <c r="Q17" s="17"/>
      <c r="R17" s="17"/>
      <c r="S17" s="58"/>
      <c r="T17" s="59">
        <f t="shared" si="0"/>
        <v>12731.599999999999</v>
      </c>
      <c r="U17" s="17">
        <v>0</v>
      </c>
      <c r="V17" s="5">
        <v>0</v>
      </c>
      <c r="W17" s="5">
        <f>4672.7+13942.4-4743.8-1139.7</f>
        <v>12731.599999999999</v>
      </c>
      <c r="X17" s="5">
        <v>0</v>
      </c>
      <c r="Y17" s="5">
        <v>0</v>
      </c>
      <c r="Z17" s="60">
        <v>0</v>
      </c>
      <c r="AA17" s="57"/>
      <c r="AB17" s="57"/>
      <c r="AC17" s="57"/>
      <c r="AD17" s="57"/>
      <c r="AE17" s="61"/>
    </row>
    <row r="18" spans="1:31" ht="378" customHeight="1" thickBot="1">
      <c r="A18" s="62" t="s">
        <v>25</v>
      </c>
      <c r="B18" s="63" t="s">
        <v>309</v>
      </c>
      <c r="C18" s="18" t="s">
        <v>68</v>
      </c>
      <c r="D18" s="16" t="s">
        <v>5</v>
      </c>
      <c r="E18" s="16" t="s">
        <v>5</v>
      </c>
      <c r="F18" s="64" t="s">
        <v>17</v>
      </c>
      <c r="G18" s="64" t="s">
        <v>76</v>
      </c>
      <c r="H18" s="5">
        <f>SUM(I18:S18)</f>
        <v>4148.7</v>
      </c>
      <c r="I18" s="24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24">
        <v>0</v>
      </c>
      <c r="P18" s="24"/>
      <c r="Q18" s="24">
        <v>4148.7</v>
      </c>
      <c r="R18" s="24"/>
      <c r="S18" s="66"/>
      <c r="T18" s="67">
        <f>SUM(U18:AE18)</f>
        <v>0</v>
      </c>
      <c r="U18" s="24"/>
      <c r="V18" s="65"/>
      <c r="W18" s="65"/>
      <c r="X18" s="65"/>
      <c r="Y18" s="65"/>
      <c r="Z18" s="68"/>
      <c r="AA18" s="63"/>
      <c r="AB18" s="63"/>
      <c r="AC18" s="63"/>
      <c r="AD18" s="63"/>
      <c r="AE18" s="69"/>
    </row>
    <row r="19" spans="1:31" ht="61.5" customHeight="1" thickBot="1">
      <c r="A19" s="62" t="s">
        <v>26</v>
      </c>
      <c r="B19" s="63" t="s">
        <v>310</v>
      </c>
      <c r="C19" s="18" t="s">
        <v>68</v>
      </c>
      <c r="D19" s="16" t="s">
        <v>5</v>
      </c>
      <c r="E19" s="16" t="s">
        <v>5</v>
      </c>
      <c r="F19" s="64" t="s">
        <v>17</v>
      </c>
      <c r="G19" s="45" t="s">
        <v>75</v>
      </c>
      <c r="H19" s="5">
        <f>SUM(I19:S19)</f>
        <v>21000</v>
      </c>
      <c r="I19" s="24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24">
        <v>0</v>
      </c>
      <c r="P19" s="24"/>
      <c r="Q19" s="24">
        <v>21000</v>
      </c>
      <c r="R19" s="24"/>
      <c r="S19" s="66"/>
      <c r="T19" s="67">
        <f>SUM(U19:AE19)</f>
        <v>0</v>
      </c>
      <c r="U19" s="24"/>
      <c r="V19" s="65"/>
      <c r="W19" s="65"/>
      <c r="X19" s="65"/>
      <c r="Y19" s="65"/>
      <c r="Z19" s="68"/>
      <c r="AA19" s="63"/>
      <c r="AB19" s="63"/>
      <c r="AC19" s="63"/>
      <c r="AD19" s="63"/>
      <c r="AE19" s="69"/>
    </row>
    <row r="20" spans="1:31" ht="18.75">
      <c r="A20" s="243" t="s">
        <v>27</v>
      </c>
      <c r="B20" s="260" t="s">
        <v>303</v>
      </c>
      <c r="C20" s="71" t="s">
        <v>33</v>
      </c>
      <c r="D20" s="244" t="s">
        <v>5</v>
      </c>
      <c r="E20" s="244" t="s">
        <v>5</v>
      </c>
      <c r="F20" s="208" t="s">
        <v>17</v>
      </c>
      <c r="G20" s="197" t="s">
        <v>99</v>
      </c>
      <c r="H20" s="206">
        <f>SUM(I20:S24)</f>
        <v>196024.71</v>
      </c>
      <c r="I20" s="11">
        <v>20</v>
      </c>
      <c r="J20" s="11">
        <v>0</v>
      </c>
      <c r="K20" s="11">
        <v>0</v>
      </c>
      <c r="L20" s="11">
        <v>0</v>
      </c>
      <c r="M20" s="46">
        <v>0</v>
      </c>
      <c r="N20" s="11">
        <v>0</v>
      </c>
      <c r="O20" s="25"/>
      <c r="P20" s="25"/>
      <c r="Q20" s="25"/>
      <c r="R20" s="25"/>
      <c r="S20" s="72"/>
      <c r="T20" s="73">
        <f t="shared" si="0"/>
        <v>20</v>
      </c>
      <c r="U20" s="11">
        <v>20</v>
      </c>
      <c r="V20" s="11">
        <v>0</v>
      </c>
      <c r="W20" s="11">
        <v>0</v>
      </c>
      <c r="X20" s="11">
        <v>0</v>
      </c>
      <c r="Y20" s="46">
        <v>0</v>
      </c>
      <c r="Z20" s="74">
        <v>0</v>
      </c>
      <c r="AA20" s="70"/>
      <c r="AB20" s="70"/>
      <c r="AC20" s="70"/>
      <c r="AD20" s="70"/>
      <c r="AE20" s="75"/>
    </row>
    <row r="21" spans="1:31" ht="37.5">
      <c r="A21" s="211"/>
      <c r="B21" s="261"/>
      <c r="C21" s="120" t="s">
        <v>51</v>
      </c>
      <c r="D21" s="202"/>
      <c r="E21" s="202"/>
      <c r="F21" s="203"/>
      <c r="G21" s="189"/>
      <c r="H21" s="191"/>
      <c r="I21" s="13">
        <v>0</v>
      </c>
      <c r="J21" s="13">
        <f>36823.6+8673.1+51029</f>
        <v>96525.7</v>
      </c>
      <c r="K21" s="13">
        <f>87688.5-51029-62.9</f>
        <v>36596.6</v>
      </c>
      <c r="L21" s="13">
        <v>0</v>
      </c>
      <c r="M21" s="86">
        <f>15258.4+17940+28136.2</f>
        <v>61334.600000000006</v>
      </c>
      <c r="N21" s="13">
        <v>0</v>
      </c>
      <c r="O21" s="26"/>
      <c r="P21" s="26"/>
      <c r="Q21" s="26"/>
      <c r="R21" s="26"/>
      <c r="S21" s="78"/>
      <c r="T21" s="79">
        <f t="shared" si="0"/>
        <v>194456.9</v>
      </c>
      <c r="U21" s="13">
        <v>0</v>
      </c>
      <c r="V21" s="13">
        <f>36823.6+8673.1+51029</f>
        <v>96525.7</v>
      </c>
      <c r="W21" s="13">
        <f>87688.5-51029-62.9</f>
        <v>36596.6</v>
      </c>
      <c r="X21" s="13">
        <v>0</v>
      </c>
      <c r="Y21" s="86">
        <f>15258.4+17940+28136.2</f>
        <v>61334.600000000006</v>
      </c>
      <c r="Z21" s="80">
        <v>0</v>
      </c>
      <c r="AA21" s="77"/>
      <c r="AB21" s="77"/>
      <c r="AC21" s="77"/>
      <c r="AD21" s="77"/>
      <c r="AE21" s="81"/>
    </row>
    <row r="22" spans="1:31" ht="56.25">
      <c r="A22" s="211"/>
      <c r="B22" s="261"/>
      <c r="C22" s="12" t="s">
        <v>36</v>
      </c>
      <c r="D22" s="202"/>
      <c r="E22" s="202"/>
      <c r="F22" s="203"/>
      <c r="G22" s="189"/>
      <c r="H22" s="191"/>
      <c r="I22" s="13">
        <v>0</v>
      </c>
      <c r="J22" s="13">
        <v>131</v>
      </c>
      <c r="K22" s="13">
        <v>0</v>
      </c>
      <c r="L22" s="13">
        <v>0</v>
      </c>
      <c r="M22" s="13">
        <v>0</v>
      </c>
      <c r="N22" s="13">
        <v>0</v>
      </c>
      <c r="O22" s="26"/>
      <c r="P22" s="26"/>
      <c r="Q22" s="26"/>
      <c r="R22" s="26"/>
      <c r="S22" s="78"/>
      <c r="T22" s="79">
        <f t="shared" si="0"/>
        <v>131</v>
      </c>
      <c r="U22" s="13">
        <v>0</v>
      </c>
      <c r="V22" s="13">
        <v>131</v>
      </c>
      <c r="W22" s="13">
        <v>0</v>
      </c>
      <c r="X22" s="13">
        <v>0</v>
      </c>
      <c r="Y22" s="13">
        <v>0</v>
      </c>
      <c r="Z22" s="80">
        <v>0</v>
      </c>
      <c r="AA22" s="77"/>
      <c r="AB22" s="77"/>
      <c r="AC22" s="77"/>
      <c r="AD22" s="77"/>
      <c r="AE22" s="81"/>
    </row>
    <row r="23" spans="1:31" ht="18.75">
      <c r="A23" s="211"/>
      <c r="B23" s="261"/>
      <c r="C23" s="121" t="s">
        <v>69</v>
      </c>
      <c r="D23" s="202"/>
      <c r="E23" s="202"/>
      <c r="F23" s="203"/>
      <c r="G23" s="189"/>
      <c r="H23" s="191"/>
      <c r="I23" s="13">
        <v>0</v>
      </c>
      <c r="J23" s="13">
        <v>73.6</v>
      </c>
      <c r="K23" s="13">
        <v>192.7</v>
      </c>
      <c r="L23" s="13">
        <v>0</v>
      </c>
      <c r="M23" s="122">
        <f>43+52+52.9</f>
        <v>147.9</v>
      </c>
      <c r="N23" s="13">
        <v>0</v>
      </c>
      <c r="O23" s="26"/>
      <c r="P23" s="26"/>
      <c r="Q23" s="26"/>
      <c r="R23" s="26"/>
      <c r="S23" s="78"/>
      <c r="T23" s="79">
        <f t="shared" si="0"/>
        <v>414.19999999999993</v>
      </c>
      <c r="U23" s="13">
        <v>0</v>
      </c>
      <c r="V23" s="13">
        <v>73.6</v>
      </c>
      <c r="W23" s="13">
        <v>192.7</v>
      </c>
      <c r="X23" s="13">
        <v>0</v>
      </c>
      <c r="Y23" s="122">
        <f>43+52+52.9</f>
        <v>147.9</v>
      </c>
      <c r="Z23" s="80">
        <v>0</v>
      </c>
      <c r="AA23" s="77"/>
      <c r="AB23" s="77"/>
      <c r="AC23" s="77"/>
      <c r="AD23" s="77"/>
      <c r="AE23" s="81"/>
    </row>
    <row r="24" spans="1:31" ht="43.5" customHeight="1" thickBot="1">
      <c r="A24" s="212"/>
      <c r="B24" s="262"/>
      <c r="C24" s="124" t="s">
        <v>52</v>
      </c>
      <c r="D24" s="218"/>
      <c r="E24" s="218"/>
      <c r="F24" s="209"/>
      <c r="G24" s="219"/>
      <c r="H24" s="207"/>
      <c r="I24" s="19">
        <v>0</v>
      </c>
      <c r="J24" s="19">
        <v>95.91</v>
      </c>
      <c r="K24" s="19">
        <v>250.9</v>
      </c>
      <c r="L24" s="19">
        <v>0</v>
      </c>
      <c r="M24" s="123">
        <f>233.2+273+149.6</f>
        <v>655.8</v>
      </c>
      <c r="N24" s="19">
        <v>0</v>
      </c>
      <c r="O24" s="23"/>
      <c r="P24" s="23"/>
      <c r="Q24" s="23"/>
      <c r="R24" s="23"/>
      <c r="S24" s="52"/>
      <c r="T24" s="53">
        <f t="shared" si="0"/>
        <v>1002.6099999999999</v>
      </c>
      <c r="U24" s="19">
        <v>0</v>
      </c>
      <c r="V24" s="19">
        <v>95.91</v>
      </c>
      <c r="W24" s="19">
        <v>250.9</v>
      </c>
      <c r="X24" s="19">
        <v>0</v>
      </c>
      <c r="Y24" s="123">
        <f>233.2+273+149.6</f>
        <v>655.8</v>
      </c>
      <c r="Z24" s="83">
        <v>0</v>
      </c>
      <c r="AA24" s="51"/>
      <c r="AB24" s="51"/>
      <c r="AC24" s="51"/>
      <c r="AD24" s="51"/>
      <c r="AE24" s="54"/>
    </row>
    <row r="25" spans="1:31" s="133" customFormat="1" ht="43.5" customHeight="1">
      <c r="A25" s="230" t="s">
        <v>28</v>
      </c>
      <c r="B25" s="246" t="s">
        <v>133</v>
      </c>
      <c r="C25" s="125" t="s">
        <v>8</v>
      </c>
      <c r="D25" s="239" t="s">
        <v>5</v>
      </c>
      <c r="E25" s="239" t="s">
        <v>5</v>
      </c>
      <c r="F25" s="204"/>
      <c r="G25" s="224" t="s">
        <v>134</v>
      </c>
      <c r="H25" s="222">
        <f>SUM(I25:S27)</f>
        <v>8037.8</v>
      </c>
      <c r="I25" s="126">
        <v>0</v>
      </c>
      <c r="J25" s="126">
        <v>0</v>
      </c>
      <c r="K25" s="126">
        <v>0</v>
      </c>
      <c r="L25" s="126">
        <v>0</v>
      </c>
      <c r="M25" s="126">
        <f>10393.4-220.8-2169</f>
        <v>8003.6</v>
      </c>
      <c r="N25" s="127">
        <v>0</v>
      </c>
      <c r="O25" s="128"/>
      <c r="P25" s="128"/>
      <c r="Q25" s="128"/>
      <c r="R25" s="128"/>
      <c r="S25" s="129"/>
      <c r="T25" s="130">
        <f t="shared" si="0"/>
        <v>8003.6</v>
      </c>
      <c r="U25" s="126">
        <v>0</v>
      </c>
      <c r="V25" s="126">
        <v>0</v>
      </c>
      <c r="W25" s="126">
        <v>0</v>
      </c>
      <c r="X25" s="126">
        <v>0</v>
      </c>
      <c r="Y25" s="126">
        <f>10393.4-220.8-2169</f>
        <v>8003.6</v>
      </c>
      <c r="Z25" s="127">
        <v>0</v>
      </c>
      <c r="AA25" s="131"/>
      <c r="AB25" s="131"/>
      <c r="AC25" s="131"/>
      <c r="AD25" s="131"/>
      <c r="AE25" s="132"/>
    </row>
    <row r="26" spans="1:31" s="133" customFormat="1" ht="41.25" customHeight="1">
      <c r="A26" s="230"/>
      <c r="B26" s="246"/>
      <c r="C26" s="134" t="s">
        <v>52</v>
      </c>
      <c r="D26" s="239"/>
      <c r="E26" s="239"/>
      <c r="F26" s="204"/>
      <c r="G26" s="266"/>
      <c r="H26" s="222"/>
      <c r="I26" s="122">
        <v>0</v>
      </c>
      <c r="J26" s="122">
        <v>0</v>
      </c>
      <c r="K26" s="122">
        <v>0</v>
      </c>
      <c r="L26" s="122">
        <v>0</v>
      </c>
      <c r="M26" s="122">
        <f>48.6-4.7-9.7</f>
        <v>34.2</v>
      </c>
      <c r="N26" s="135">
        <v>0</v>
      </c>
      <c r="O26" s="136"/>
      <c r="P26" s="136"/>
      <c r="Q26" s="136"/>
      <c r="R26" s="136"/>
      <c r="S26" s="137"/>
      <c r="T26" s="130">
        <f t="shared" si="0"/>
        <v>34.2</v>
      </c>
      <c r="U26" s="122">
        <v>0</v>
      </c>
      <c r="V26" s="122">
        <v>0</v>
      </c>
      <c r="W26" s="122">
        <v>0</v>
      </c>
      <c r="X26" s="122">
        <v>0</v>
      </c>
      <c r="Y26" s="122">
        <f>48.6-4.7-9.7</f>
        <v>34.2</v>
      </c>
      <c r="Z26" s="135">
        <v>0</v>
      </c>
      <c r="AA26" s="138"/>
      <c r="AB26" s="138"/>
      <c r="AC26" s="138"/>
      <c r="AD26" s="138"/>
      <c r="AE26" s="139"/>
    </row>
    <row r="27" spans="1:31" s="133" customFormat="1" ht="36.75" customHeight="1" thickBot="1">
      <c r="A27" s="231"/>
      <c r="B27" s="247"/>
      <c r="C27" s="140" t="s">
        <v>33</v>
      </c>
      <c r="D27" s="173"/>
      <c r="E27" s="173"/>
      <c r="F27" s="205"/>
      <c r="G27" s="140" t="s">
        <v>76</v>
      </c>
      <c r="H27" s="223"/>
      <c r="I27" s="141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3"/>
      <c r="P27" s="143"/>
      <c r="Q27" s="143"/>
      <c r="R27" s="143"/>
      <c r="S27" s="144"/>
      <c r="T27" s="145">
        <f t="shared" si="0"/>
        <v>3291.4</v>
      </c>
      <c r="U27" s="142">
        <v>0</v>
      </c>
      <c r="V27" s="142">
        <v>0</v>
      </c>
      <c r="W27" s="142">
        <v>2000</v>
      </c>
      <c r="X27" s="142">
        <v>1291.4</v>
      </c>
      <c r="Y27" s="142">
        <v>0</v>
      </c>
      <c r="Z27" s="146">
        <v>0</v>
      </c>
      <c r="AA27" s="147"/>
      <c r="AB27" s="147"/>
      <c r="AC27" s="147"/>
      <c r="AD27" s="147"/>
      <c r="AE27" s="148"/>
    </row>
    <row r="28" spans="1:31" ht="56.25" customHeight="1">
      <c r="A28" s="267" t="s">
        <v>50</v>
      </c>
      <c r="B28" s="265" t="s">
        <v>91</v>
      </c>
      <c r="C28" s="71" t="s">
        <v>33</v>
      </c>
      <c r="D28" s="253" t="s">
        <v>5</v>
      </c>
      <c r="E28" s="253" t="s">
        <v>5</v>
      </c>
      <c r="F28" s="253"/>
      <c r="G28" s="253">
        <v>2020</v>
      </c>
      <c r="H28" s="193">
        <f>SUM(I28:S29)</f>
        <v>49385.2</v>
      </c>
      <c r="I28" s="25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25"/>
      <c r="P28" s="25"/>
      <c r="Q28" s="25"/>
      <c r="R28" s="25"/>
      <c r="S28" s="72"/>
      <c r="T28" s="73">
        <f t="shared" si="0"/>
        <v>2078.5</v>
      </c>
      <c r="U28" s="11">
        <v>0</v>
      </c>
      <c r="V28" s="11">
        <v>0</v>
      </c>
      <c r="W28" s="11">
        <f>4293.8-2215.3</f>
        <v>2078.5</v>
      </c>
      <c r="X28" s="11">
        <v>0</v>
      </c>
      <c r="Y28" s="11">
        <v>0</v>
      </c>
      <c r="Z28" s="74">
        <v>0</v>
      </c>
      <c r="AA28" s="70"/>
      <c r="AB28" s="70"/>
      <c r="AC28" s="70"/>
      <c r="AD28" s="70"/>
      <c r="AE28" s="75"/>
    </row>
    <row r="29" spans="1:31" ht="38.25" thickBot="1">
      <c r="A29" s="184"/>
      <c r="B29" s="186"/>
      <c r="C29" s="15" t="s">
        <v>8</v>
      </c>
      <c r="D29" s="188"/>
      <c r="E29" s="188"/>
      <c r="F29" s="188"/>
      <c r="G29" s="188"/>
      <c r="H29" s="188"/>
      <c r="I29" s="23">
        <v>0</v>
      </c>
      <c r="J29" s="19">
        <v>0</v>
      </c>
      <c r="K29" s="19">
        <v>0</v>
      </c>
      <c r="L29" s="19">
        <v>0</v>
      </c>
      <c r="M29" s="19">
        <v>0</v>
      </c>
      <c r="N29" s="19">
        <v>49385.2</v>
      </c>
      <c r="O29" s="23"/>
      <c r="P29" s="23"/>
      <c r="Q29" s="23"/>
      <c r="R29" s="23"/>
      <c r="S29" s="52"/>
      <c r="T29" s="53">
        <f t="shared" si="0"/>
        <v>49385.2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83">
        <v>49385.2</v>
      </c>
      <c r="AA29" s="51"/>
      <c r="AB29" s="51"/>
      <c r="AC29" s="51"/>
      <c r="AD29" s="51"/>
      <c r="AE29" s="54"/>
    </row>
    <row r="30" spans="1:31" ht="37.5">
      <c r="A30" s="243" t="s">
        <v>29</v>
      </c>
      <c r="B30" s="242" t="s">
        <v>129</v>
      </c>
      <c r="C30" s="7" t="s">
        <v>8</v>
      </c>
      <c r="D30" s="244" t="s">
        <v>5</v>
      </c>
      <c r="E30" s="244" t="s">
        <v>5</v>
      </c>
      <c r="F30" s="244"/>
      <c r="G30" s="244">
        <v>2020</v>
      </c>
      <c r="H30" s="206">
        <f>SUM(I30:S31)</f>
        <v>18175.259999999995</v>
      </c>
      <c r="I30" s="11">
        <v>0</v>
      </c>
      <c r="J30" s="11">
        <v>0</v>
      </c>
      <c r="K30" s="11">
        <f>22034.1-563.04-8434.6-13036.5</f>
        <v>-0.040000000002692104</v>
      </c>
      <c r="L30" s="11">
        <v>0</v>
      </c>
      <c r="M30" s="46">
        <f>4322.5-4322.5</f>
        <v>0</v>
      </c>
      <c r="N30" s="11">
        <v>18175.3</v>
      </c>
      <c r="O30" s="25"/>
      <c r="P30" s="25"/>
      <c r="Q30" s="25"/>
      <c r="R30" s="25"/>
      <c r="S30" s="72"/>
      <c r="T30" s="73">
        <f>U30+V30+W30+X30+Y30+Z30</f>
        <v>18175.259999999995</v>
      </c>
      <c r="U30" s="11">
        <v>0</v>
      </c>
      <c r="V30" s="11">
        <v>0</v>
      </c>
      <c r="W30" s="11">
        <f>22034.1-563.04-8434.6-13036.5</f>
        <v>-0.040000000002692104</v>
      </c>
      <c r="X30" s="11">
        <v>0</v>
      </c>
      <c r="Y30" s="46">
        <f>4322.5-4322.5</f>
        <v>0</v>
      </c>
      <c r="Z30" s="74">
        <v>18175.3</v>
      </c>
      <c r="AA30" s="70"/>
      <c r="AB30" s="70"/>
      <c r="AC30" s="70"/>
      <c r="AD30" s="70"/>
      <c r="AE30" s="75"/>
    </row>
    <row r="31" spans="1:31" ht="39" customHeight="1" thickBot="1">
      <c r="A31" s="212"/>
      <c r="B31" s="216"/>
      <c r="C31" s="15" t="s">
        <v>33</v>
      </c>
      <c r="D31" s="218"/>
      <c r="E31" s="218"/>
      <c r="F31" s="218"/>
      <c r="G31" s="218"/>
      <c r="H31" s="207"/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3"/>
      <c r="P31" s="23"/>
      <c r="Q31" s="23"/>
      <c r="R31" s="23"/>
      <c r="S31" s="52"/>
      <c r="T31" s="53">
        <f>U31+V31+W31+X31+Y31+Z31</f>
        <v>889.6999999999999</v>
      </c>
      <c r="U31" s="19">
        <v>0</v>
      </c>
      <c r="V31" s="19">
        <v>0</v>
      </c>
      <c r="W31" s="19">
        <f>951.4-61.7</f>
        <v>889.6999999999999</v>
      </c>
      <c r="X31" s="19">
        <v>0</v>
      </c>
      <c r="Y31" s="19">
        <v>0</v>
      </c>
      <c r="Z31" s="83">
        <v>0</v>
      </c>
      <c r="AA31" s="51"/>
      <c r="AB31" s="51"/>
      <c r="AC31" s="51"/>
      <c r="AD31" s="51"/>
      <c r="AE31" s="54"/>
    </row>
    <row r="32" spans="1:31" s="6" customFormat="1" ht="51.75" customHeight="1">
      <c r="A32" s="230" t="s">
        <v>316</v>
      </c>
      <c r="B32" s="246" t="s">
        <v>135</v>
      </c>
      <c r="C32" s="125" t="s">
        <v>33</v>
      </c>
      <c r="D32" s="239" t="s">
        <v>5</v>
      </c>
      <c r="E32" s="239" t="s">
        <v>5</v>
      </c>
      <c r="F32" s="125"/>
      <c r="G32" s="125" t="s">
        <v>75</v>
      </c>
      <c r="H32" s="149">
        <f>SUM(I32:S32)</f>
        <v>0</v>
      </c>
      <c r="I32" s="149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8"/>
      <c r="P32" s="128"/>
      <c r="Q32" s="128"/>
      <c r="R32" s="128"/>
      <c r="S32" s="129"/>
      <c r="T32" s="130">
        <f>U32+V32+W32+X32+Y32+Z32</f>
        <v>730</v>
      </c>
      <c r="U32" s="126">
        <v>0</v>
      </c>
      <c r="V32" s="126">
        <v>0</v>
      </c>
      <c r="W32" s="126">
        <f>1000-270</f>
        <v>730</v>
      </c>
      <c r="X32" s="126">
        <v>0</v>
      </c>
      <c r="Y32" s="126">
        <v>0</v>
      </c>
      <c r="Z32" s="127">
        <v>0</v>
      </c>
      <c r="AA32" s="131"/>
      <c r="AB32" s="131"/>
      <c r="AC32" s="131"/>
      <c r="AD32" s="131"/>
      <c r="AE32" s="132"/>
    </row>
    <row r="33" spans="1:31" s="6" customFormat="1" ht="55.5" customHeight="1" thickBot="1">
      <c r="A33" s="231"/>
      <c r="B33" s="247"/>
      <c r="C33" s="140" t="s">
        <v>123</v>
      </c>
      <c r="D33" s="173"/>
      <c r="E33" s="173"/>
      <c r="F33" s="140" t="s">
        <v>122</v>
      </c>
      <c r="G33" s="140">
        <v>2020</v>
      </c>
      <c r="H33" s="141">
        <f>SUM(I33:S33)</f>
        <v>15895.5</v>
      </c>
      <c r="I33" s="141">
        <v>0</v>
      </c>
      <c r="J33" s="142">
        <v>0</v>
      </c>
      <c r="K33" s="142">
        <v>0</v>
      </c>
      <c r="L33" s="142">
        <v>0</v>
      </c>
      <c r="M33" s="142">
        <f>21806.7-4763.1-7274.3-7891.2-1148.1-730</f>
        <v>0</v>
      </c>
      <c r="N33" s="146">
        <f>7274.3+7891.2+730</f>
        <v>15895.5</v>
      </c>
      <c r="O33" s="143"/>
      <c r="P33" s="143"/>
      <c r="Q33" s="143"/>
      <c r="R33" s="143"/>
      <c r="S33" s="144"/>
      <c r="T33" s="145">
        <f>U33+V33+W33+X33+Y33+Z33</f>
        <v>15895.5</v>
      </c>
      <c r="U33" s="142">
        <v>0</v>
      </c>
      <c r="V33" s="142">
        <v>0</v>
      </c>
      <c r="W33" s="142">
        <v>0</v>
      </c>
      <c r="X33" s="142">
        <v>0</v>
      </c>
      <c r="Y33" s="142">
        <f>21806.7-4763.1-7274.3-7891.2-1148.1-730</f>
        <v>0</v>
      </c>
      <c r="Z33" s="146">
        <f>7274.3+7891.2+730</f>
        <v>15895.5</v>
      </c>
      <c r="AA33" s="147"/>
      <c r="AB33" s="147"/>
      <c r="AC33" s="147"/>
      <c r="AD33" s="147"/>
      <c r="AE33" s="148"/>
    </row>
    <row r="34" spans="1:31" ht="18.75">
      <c r="A34" s="243" t="s">
        <v>317</v>
      </c>
      <c r="B34" s="242" t="s">
        <v>19</v>
      </c>
      <c r="C34" s="71" t="s">
        <v>33</v>
      </c>
      <c r="D34" s="244" t="s">
        <v>5</v>
      </c>
      <c r="E34" s="244" t="s">
        <v>5</v>
      </c>
      <c r="F34" s="208" t="s">
        <v>17</v>
      </c>
      <c r="G34" s="197" t="s">
        <v>18</v>
      </c>
      <c r="H34" s="206">
        <v>54706.99</v>
      </c>
      <c r="I34" s="11">
        <v>20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25"/>
      <c r="P34" s="25"/>
      <c r="Q34" s="25"/>
      <c r="R34" s="25"/>
      <c r="S34" s="72"/>
      <c r="T34" s="73">
        <f t="shared" si="0"/>
        <v>20</v>
      </c>
      <c r="U34" s="11">
        <v>20</v>
      </c>
      <c r="V34" s="11">
        <v>0</v>
      </c>
      <c r="W34" s="11">
        <v>0</v>
      </c>
      <c r="X34" s="11">
        <v>0</v>
      </c>
      <c r="Y34" s="11">
        <v>0</v>
      </c>
      <c r="Z34" s="74">
        <v>0</v>
      </c>
      <c r="AA34" s="70"/>
      <c r="AB34" s="70"/>
      <c r="AC34" s="70"/>
      <c r="AD34" s="70"/>
      <c r="AE34" s="75"/>
    </row>
    <row r="35" spans="1:31" ht="37.5">
      <c r="A35" s="211"/>
      <c r="B35" s="215"/>
      <c r="C35" s="14" t="s">
        <v>8</v>
      </c>
      <c r="D35" s="202"/>
      <c r="E35" s="202"/>
      <c r="F35" s="203"/>
      <c r="G35" s="189"/>
      <c r="H35" s="191"/>
      <c r="I35" s="13">
        <v>0</v>
      </c>
      <c r="J35" s="13">
        <f>53879.7-302.8-521.1239-0.548</f>
        <v>53055.22809999999</v>
      </c>
      <c r="K35" s="13">
        <v>0</v>
      </c>
      <c r="L35" s="13">
        <v>0</v>
      </c>
      <c r="M35" s="13">
        <v>0</v>
      </c>
      <c r="N35" s="13">
        <v>0</v>
      </c>
      <c r="O35" s="26"/>
      <c r="P35" s="26"/>
      <c r="Q35" s="26"/>
      <c r="R35" s="26"/>
      <c r="S35" s="78"/>
      <c r="T35" s="79">
        <f t="shared" si="0"/>
        <v>53055.22809999999</v>
      </c>
      <c r="U35" s="13">
        <v>0</v>
      </c>
      <c r="V35" s="13">
        <f>53879.7-302.8-521.1239-0.548</f>
        <v>53055.22809999999</v>
      </c>
      <c r="W35" s="13">
        <v>0</v>
      </c>
      <c r="X35" s="13">
        <v>0</v>
      </c>
      <c r="Y35" s="13">
        <v>0</v>
      </c>
      <c r="Z35" s="80">
        <v>0</v>
      </c>
      <c r="AA35" s="77"/>
      <c r="AB35" s="77"/>
      <c r="AC35" s="77"/>
      <c r="AD35" s="77"/>
      <c r="AE35" s="81"/>
    </row>
    <row r="36" spans="1:31" ht="18.75">
      <c r="A36" s="211"/>
      <c r="B36" s="215"/>
      <c r="C36" s="14" t="s">
        <v>52</v>
      </c>
      <c r="D36" s="202"/>
      <c r="E36" s="202"/>
      <c r="F36" s="203"/>
      <c r="G36" s="189"/>
      <c r="H36" s="191"/>
      <c r="I36" s="13">
        <v>0</v>
      </c>
      <c r="J36" s="13">
        <f>484.9-272.678</f>
        <v>212.22199999999998</v>
      </c>
      <c r="K36" s="13">
        <v>0</v>
      </c>
      <c r="L36" s="13">
        <v>0</v>
      </c>
      <c r="M36" s="13">
        <v>0</v>
      </c>
      <c r="N36" s="13">
        <v>0</v>
      </c>
      <c r="O36" s="26"/>
      <c r="P36" s="26"/>
      <c r="Q36" s="26"/>
      <c r="R36" s="26"/>
      <c r="S36" s="78"/>
      <c r="T36" s="79">
        <f t="shared" si="0"/>
        <v>212.2</v>
      </c>
      <c r="U36" s="13">
        <v>0</v>
      </c>
      <c r="V36" s="13">
        <f>484.9-272.7</f>
        <v>212.2</v>
      </c>
      <c r="W36" s="13">
        <v>0</v>
      </c>
      <c r="X36" s="13">
        <v>0</v>
      </c>
      <c r="Y36" s="13">
        <v>0</v>
      </c>
      <c r="Z36" s="80">
        <v>0</v>
      </c>
      <c r="AA36" s="77"/>
      <c r="AB36" s="77"/>
      <c r="AC36" s="77"/>
      <c r="AD36" s="77"/>
      <c r="AE36" s="81"/>
    </row>
    <row r="37" spans="1:31" ht="19.5" thickBot="1">
      <c r="A37" s="212"/>
      <c r="B37" s="216"/>
      <c r="C37" s="82" t="s">
        <v>69</v>
      </c>
      <c r="D37" s="218"/>
      <c r="E37" s="218"/>
      <c r="F37" s="209"/>
      <c r="G37" s="219"/>
      <c r="H37" s="207"/>
      <c r="I37" s="19">
        <v>0</v>
      </c>
      <c r="J37" s="19">
        <v>109</v>
      </c>
      <c r="K37" s="19">
        <v>0</v>
      </c>
      <c r="L37" s="19">
        <v>0</v>
      </c>
      <c r="M37" s="19">
        <v>0</v>
      </c>
      <c r="N37" s="19">
        <v>0</v>
      </c>
      <c r="O37" s="23"/>
      <c r="P37" s="23"/>
      <c r="Q37" s="23"/>
      <c r="R37" s="23"/>
      <c r="S37" s="52"/>
      <c r="T37" s="53">
        <f t="shared" si="0"/>
        <v>109</v>
      </c>
      <c r="U37" s="19">
        <v>0</v>
      </c>
      <c r="V37" s="19">
        <v>109</v>
      </c>
      <c r="W37" s="19">
        <v>0</v>
      </c>
      <c r="X37" s="19">
        <v>0</v>
      </c>
      <c r="Y37" s="19">
        <v>0</v>
      </c>
      <c r="Z37" s="83">
        <v>0</v>
      </c>
      <c r="AA37" s="51"/>
      <c r="AB37" s="51"/>
      <c r="AC37" s="51"/>
      <c r="AD37" s="51"/>
      <c r="AE37" s="54"/>
    </row>
    <row r="38" spans="1:31" ht="75.75" thickBot="1">
      <c r="A38" s="56" t="s">
        <v>59</v>
      </c>
      <c r="B38" s="20" t="s">
        <v>126</v>
      </c>
      <c r="C38" s="18" t="s">
        <v>131</v>
      </c>
      <c r="D38" s="16" t="s">
        <v>5</v>
      </c>
      <c r="E38" s="16" t="s">
        <v>5</v>
      </c>
      <c r="F38" s="17"/>
      <c r="G38" s="18" t="s">
        <v>76</v>
      </c>
      <c r="H38" s="5">
        <f>SUM(I38:S38)</f>
        <v>75</v>
      </c>
      <c r="I38" s="5">
        <v>0</v>
      </c>
      <c r="J38" s="5">
        <v>0</v>
      </c>
      <c r="K38" s="5">
        <v>75</v>
      </c>
      <c r="L38" s="5">
        <v>0</v>
      </c>
      <c r="M38" s="5">
        <v>0</v>
      </c>
      <c r="N38" s="5">
        <v>0</v>
      </c>
      <c r="O38" s="17"/>
      <c r="P38" s="17"/>
      <c r="Q38" s="17"/>
      <c r="R38" s="17"/>
      <c r="S38" s="58"/>
      <c r="T38" s="59">
        <f>U38+V38+W38+X38+Y38+Z38</f>
        <v>75</v>
      </c>
      <c r="U38" s="5">
        <v>0</v>
      </c>
      <c r="V38" s="5">
        <v>0</v>
      </c>
      <c r="W38" s="5">
        <v>0</v>
      </c>
      <c r="X38" s="5">
        <v>75</v>
      </c>
      <c r="Y38" s="5">
        <v>0</v>
      </c>
      <c r="Z38" s="60">
        <v>0</v>
      </c>
      <c r="AA38" s="57"/>
      <c r="AB38" s="57"/>
      <c r="AC38" s="57"/>
      <c r="AD38" s="57"/>
      <c r="AE38" s="61"/>
    </row>
    <row r="39" spans="1:31" ht="57" thickBot="1">
      <c r="A39" s="62" t="s">
        <v>60</v>
      </c>
      <c r="B39" s="87" t="s">
        <v>307</v>
      </c>
      <c r="C39" s="88" t="s">
        <v>308</v>
      </c>
      <c r="D39" s="16" t="s">
        <v>58</v>
      </c>
      <c r="E39" s="16" t="s">
        <v>58</v>
      </c>
      <c r="F39" s="24" t="s">
        <v>76</v>
      </c>
      <c r="G39" s="88" t="s">
        <v>76</v>
      </c>
      <c r="H39" s="5">
        <f>SUM(I39:S39)</f>
        <v>25175.8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25175.8</v>
      </c>
      <c r="O39" s="24"/>
      <c r="P39" s="24"/>
      <c r="Q39" s="24"/>
      <c r="R39" s="24"/>
      <c r="S39" s="66"/>
      <c r="T39" s="67">
        <f>SUM(U39:AE39)</f>
        <v>0</v>
      </c>
      <c r="U39" s="65"/>
      <c r="V39" s="65"/>
      <c r="W39" s="65"/>
      <c r="X39" s="65"/>
      <c r="Y39" s="65"/>
      <c r="Z39" s="68"/>
      <c r="AA39" s="63"/>
      <c r="AB39" s="63"/>
      <c r="AC39" s="63"/>
      <c r="AD39" s="63"/>
      <c r="AE39" s="69"/>
    </row>
    <row r="40" spans="1:31" s="97" customFormat="1" ht="75">
      <c r="A40" s="89" t="s">
        <v>61</v>
      </c>
      <c r="B40" s="90" t="s">
        <v>12</v>
      </c>
      <c r="C40" s="91"/>
      <c r="D40" s="37"/>
      <c r="E40" s="37"/>
      <c r="F40" s="2"/>
      <c r="G40" s="91"/>
      <c r="H40" s="92"/>
      <c r="I40" s="92"/>
      <c r="J40" s="92"/>
      <c r="K40" s="92"/>
      <c r="L40" s="92"/>
      <c r="M40" s="92"/>
      <c r="N40" s="92"/>
      <c r="O40" s="2"/>
      <c r="P40" s="2"/>
      <c r="Q40" s="2"/>
      <c r="R40" s="2"/>
      <c r="S40" s="36"/>
      <c r="T40" s="93">
        <f>SUM(U40:AE40)</f>
        <v>0</v>
      </c>
      <c r="U40" s="92"/>
      <c r="V40" s="92"/>
      <c r="W40" s="92"/>
      <c r="X40" s="92"/>
      <c r="Y40" s="92"/>
      <c r="Z40" s="94"/>
      <c r="AA40" s="95"/>
      <c r="AB40" s="95"/>
      <c r="AC40" s="95"/>
      <c r="AD40" s="95"/>
      <c r="AE40" s="96"/>
    </row>
    <row r="41" spans="1:31" ht="56.25">
      <c r="A41" s="76" t="s">
        <v>318</v>
      </c>
      <c r="B41" s="98" t="s">
        <v>20</v>
      </c>
      <c r="C41" s="12" t="s">
        <v>10</v>
      </c>
      <c r="D41" s="14" t="s">
        <v>5</v>
      </c>
      <c r="E41" s="14" t="s">
        <v>5</v>
      </c>
      <c r="F41" s="26"/>
      <c r="G41" s="12" t="s">
        <v>76</v>
      </c>
      <c r="H41" s="13">
        <v>6077.48</v>
      </c>
      <c r="I41" s="13">
        <v>0</v>
      </c>
      <c r="J41" s="13">
        <v>0</v>
      </c>
      <c r="K41" s="13">
        <f>2000-491.2</f>
        <v>1508.8</v>
      </c>
      <c r="L41" s="13">
        <v>0</v>
      </c>
      <c r="M41" s="13">
        <v>0</v>
      </c>
      <c r="N41" s="13">
        <v>0</v>
      </c>
      <c r="O41" s="26"/>
      <c r="P41" s="26"/>
      <c r="Q41" s="26"/>
      <c r="R41" s="26"/>
      <c r="S41" s="78"/>
      <c r="T41" s="79">
        <f>SUM(U41:AE41)</f>
        <v>1759.8999999999999</v>
      </c>
      <c r="U41" s="13">
        <v>251.1</v>
      </c>
      <c r="V41" s="13">
        <v>0</v>
      </c>
      <c r="W41" s="13">
        <f>2000-491.2</f>
        <v>1508.8</v>
      </c>
      <c r="X41" s="13">
        <v>0</v>
      </c>
      <c r="Y41" s="13">
        <v>0</v>
      </c>
      <c r="Z41" s="80">
        <v>0</v>
      </c>
      <c r="AA41" s="77"/>
      <c r="AB41" s="77"/>
      <c r="AC41" s="77"/>
      <c r="AD41" s="77"/>
      <c r="AE41" s="81"/>
    </row>
    <row r="42" spans="1:31" ht="75">
      <c r="A42" s="76" t="s">
        <v>319</v>
      </c>
      <c r="B42" s="98" t="s">
        <v>34</v>
      </c>
      <c r="C42" s="12" t="s">
        <v>71</v>
      </c>
      <c r="D42" s="14" t="s">
        <v>5</v>
      </c>
      <c r="E42" s="14" t="s">
        <v>5</v>
      </c>
      <c r="F42" s="26"/>
      <c r="G42" s="12" t="s">
        <v>76</v>
      </c>
      <c r="H42" s="13">
        <f>SUM(I42:S42)</f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26"/>
      <c r="P42" s="26"/>
      <c r="Q42" s="26"/>
      <c r="R42" s="26"/>
      <c r="S42" s="78"/>
      <c r="T42" s="79">
        <f t="shared" si="0"/>
        <v>298.2</v>
      </c>
      <c r="U42" s="13">
        <v>298.2</v>
      </c>
      <c r="V42" s="13">
        <v>0</v>
      </c>
      <c r="W42" s="13">
        <v>0</v>
      </c>
      <c r="X42" s="13">
        <v>0</v>
      </c>
      <c r="Y42" s="13">
        <v>0</v>
      </c>
      <c r="Z42" s="80">
        <v>0</v>
      </c>
      <c r="AA42" s="77"/>
      <c r="AB42" s="77"/>
      <c r="AC42" s="77"/>
      <c r="AD42" s="77"/>
      <c r="AE42" s="81"/>
    </row>
    <row r="43" spans="1:31" ht="75">
      <c r="A43" s="76" t="s">
        <v>320</v>
      </c>
      <c r="B43" s="98" t="s">
        <v>21</v>
      </c>
      <c r="C43" s="12" t="s">
        <v>72</v>
      </c>
      <c r="D43" s="14" t="s">
        <v>5</v>
      </c>
      <c r="E43" s="14" t="s">
        <v>5</v>
      </c>
      <c r="F43" s="26"/>
      <c r="G43" s="12" t="s">
        <v>76</v>
      </c>
      <c r="H43" s="13">
        <f>SUM(I43:S43)</f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6"/>
      <c r="P43" s="26"/>
      <c r="Q43" s="26"/>
      <c r="R43" s="26"/>
      <c r="S43" s="78"/>
      <c r="T43" s="79">
        <f t="shared" si="0"/>
        <v>6834.8</v>
      </c>
      <c r="U43" s="13">
        <v>6834.8</v>
      </c>
      <c r="V43" s="13">
        <v>0</v>
      </c>
      <c r="W43" s="13">
        <v>0</v>
      </c>
      <c r="X43" s="13">
        <v>0</v>
      </c>
      <c r="Y43" s="13">
        <v>0</v>
      </c>
      <c r="Z43" s="80">
        <v>0</v>
      </c>
      <c r="AA43" s="77"/>
      <c r="AB43" s="77"/>
      <c r="AC43" s="77"/>
      <c r="AD43" s="77"/>
      <c r="AE43" s="81"/>
    </row>
    <row r="44" spans="1:31" ht="37.5">
      <c r="A44" s="211" t="s">
        <v>321</v>
      </c>
      <c r="B44" s="248" t="s">
        <v>22</v>
      </c>
      <c r="C44" s="12" t="s">
        <v>8</v>
      </c>
      <c r="D44" s="202" t="s">
        <v>5</v>
      </c>
      <c r="E44" s="202" t="s">
        <v>5</v>
      </c>
      <c r="F44" s="203"/>
      <c r="G44" s="189" t="s">
        <v>18</v>
      </c>
      <c r="H44" s="191">
        <f>SUM(I44:S46)</f>
        <v>22201</v>
      </c>
      <c r="I44" s="13">
        <v>16797.4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6"/>
      <c r="P44" s="26"/>
      <c r="Q44" s="26"/>
      <c r="R44" s="26"/>
      <c r="S44" s="78"/>
      <c r="T44" s="79">
        <f t="shared" si="0"/>
        <v>16797.4</v>
      </c>
      <c r="U44" s="13">
        <v>16797.4</v>
      </c>
      <c r="V44" s="13">
        <v>0</v>
      </c>
      <c r="W44" s="13">
        <v>0</v>
      </c>
      <c r="X44" s="13">
        <v>0</v>
      </c>
      <c r="Y44" s="13">
        <v>0</v>
      </c>
      <c r="Z44" s="80">
        <v>0</v>
      </c>
      <c r="AA44" s="77"/>
      <c r="AB44" s="77"/>
      <c r="AC44" s="77"/>
      <c r="AD44" s="77"/>
      <c r="AE44" s="81"/>
    </row>
    <row r="45" spans="1:31" ht="18.75">
      <c r="A45" s="211"/>
      <c r="B45" s="248"/>
      <c r="C45" s="12" t="s">
        <v>44</v>
      </c>
      <c r="D45" s="202"/>
      <c r="E45" s="202"/>
      <c r="F45" s="203"/>
      <c r="G45" s="189"/>
      <c r="H45" s="191"/>
      <c r="I45" s="13">
        <v>99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6"/>
      <c r="P45" s="26"/>
      <c r="Q45" s="26"/>
      <c r="R45" s="26"/>
      <c r="S45" s="78"/>
      <c r="T45" s="79">
        <f t="shared" si="0"/>
        <v>99</v>
      </c>
      <c r="U45" s="13">
        <v>99</v>
      </c>
      <c r="V45" s="13">
        <v>0</v>
      </c>
      <c r="W45" s="13">
        <v>0</v>
      </c>
      <c r="X45" s="13">
        <v>0</v>
      </c>
      <c r="Y45" s="13">
        <v>0</v>
      </c>
      <c r="Z45" s="80">
        <v>0</v>
      </c>
      <c r="AA45" s="77"/>
      <c r="AB45" s="77"/>
      <c r="AC45" s="77"/>
      <c r="AD45" s="77"/>
      <c r="AE45" s="81"/>
    </row>
    <row r="46" spans="1:31" ht="75">
      <c r="A46" s="211"/>
      <c r="B46" s="248"/>
      <c r="C46" s="12" t="s">
        <v>73</v>
      </c>
      <c r="D46" s="202"/>
      <c r="E46" s="202"/>
      <c r="F46" s="203"/>
      <c r="G46" s="189"/>
      <c r="H46" s="191"/>
      <c r="I46" s="13">
        <v>5304.6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6"/>
      <c r="P46" s="26"/>
      <c r="Q46" s="26"/>
      <c r="R46" s="26"/>
      <c r="S46" s="78"/>
      <c r="T46" s="79">
        <f t="shared" si="0"/>
        <v>5304.6</v>
      </c>
      <c r="U46" s="13">
        <v>5304.6</v>
      </c>
      <c r="V46" s="13">
        <v>0</v>
      </c>
      <c r="W46" s="13">
        <v>0</v>
      </c>
      <c r="X46" s="13">
        <v>0</v>
      </c>
      <c r="Y46" s="13">
        <v>0</v>
      </c>
      <c r="Z46" s="80">
        <v>0</v>
      </c>
      <c r="AA46" s="77"/>
      <c r="AB46" s="77"/>
      <c r="AC46" s="77"/>
      <c r="AD46" s="77"/>
      <c r="AE46" s="81"/>
    </row>
    <row r="47" spans="1:31" ht="18.75">
      <c r="A47" s="211" t="s">
        <v>322</v>
      </c>
      <c r="B47" s="249" t="s">
        <v>45</v>
      </c>
      <c r="C47" s="12" t="s">
        <v>44</v>
      </c>
      <c r="D47" s="202" t="s">
        <v>5</v>
      </c>
      <c r="E47" s="202" t="s">
        <v>5</v>
      </c>
      <c r="F47" s="245"/>
      <c r="G47" s="189" t="s">
        <v>18</v>
      </c>
      <c r="H47" s="191">
        <f>SUM(I47:S49)</f>
        <v>4017.2999999999997</v>
      </c>
      <c r="I47" s="13">
        <v>567.5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6"/>
      <c r="P47" s="26"/>
      <c r="Q47" s="26"/>
      <c r="R47" s="26"/>
      <c r="S47" s="78"/>
      <c r="T47" s="79">
        <f t="shared" si="0"/>
        <v>567.5</v>
      </c>
      <c r="U47" s="13">
        <v>567.5</v>
      </c>
      <c r="V47" s="13">
        <v>0</v>
      </c>
      <c r="W47" s="13">
        <v>0</v>
      </c>
      <c r="X47" s="13">
        <v>0</v>
      </c>
      <c r="Y47" s="13">
        <v>0</v>
      </c>
      <c r="Z47" s="80">
        <v>0</v>
      </c>
      <c r="AA47" s="77"/>
      <c r="AB47" s="77"/>
      <c r="AC47" s="77"/>
      <c r="AD47" s="77"/>
      <c r="AE47" s="81"/>
    </row>
    <row r="48" spans="1:31" ht="37.5">
      <c r="A48" s="211"/>
      <c r="B48" s="249"/>
      <c r="C48" s="12" t="s">
        <v>8</v>
      </c>
      <c r="D48" s="202"/>
      <c r="E48" s="202"/>
      <c r="F48" s="245"/>
      <c r="G48" s="189"/>
      <c r="H48" s="191"/>
      <c r="I48" s="13">
        <v>3186.2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6"/>
      <c r="P48" s="26"/>
      <c r="Q48" s="26"/>
      <c r="R48" s="26"/>
      <c r="S48" s="78"/>
      <c r="T48" s="79">
        <f t="shared" si="0"/>
        <v>3186.2</v>
      </c>
      <c r="U48" s="13">
        <v>3186.2</v>
      </c>
      <c r="V48" s="13">
        <v>0</v>
      </c>
      <c r="W48" s="13">
        <v>0</v>
      </c>
      <c r="X48" s="13">
        <v>0</v>
      </c>
      <c r="Y48" s="13">
        <v>0</v>
      </c>
      <c r="Z48" s="80">
        <v>0</v>
      </c>
      <c r="AA48" s="77"/>
      <c r="AB48" s="77"/>
      <c r="AC48" s="77"/>
      <c r="AD48" s="77"/>
      <c r="AE48" s="81"/>
    </row>
    <row r="49" spans="1:31" ht="75">
      <c r="A49" s="211"/>
      <c r="B49" s="249"/>
      <c r="C49" s="12" t="s">
        <v>74</v>
      </c>
      <c r="D49" s="202"/>
      <c r="E49" s="202"/>
      <c r="F49" s="245"/>
      <c r="G49" s="189"/>
      <c r="H49" s="191"/>
      <c r="I49" s="13">
        <v>263.6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6"/>
      <c r="P49" s="26"/>
      <c r="Q49" s="26"/>
      <c r="R49" s="26"/>
      <c r="S49" s="78"/>
      <c r="T49" s="79">
        <f t="shared" si="0"/>
        <v>263.6</v>
      </c>
      <c r="U49" s="13">
        <v>263.6</v>
      </c>
      <c r="V49" s="13">
        <v>0</v>
      </c>
      <c r="W49" s="13">
        <v>0</v>
      </c>
      <c r="X49" s="13">
        <v>0</v>
      </c>
      <c r="Y49" s="13">
        <v>0</v>
      </c>
      <c r="Z49" s="80">
        <v>0</v>
      </c>
      <c r="AA49" s="77"/>
      <c r="AB49" s="77"/>
      <c r="AC49" s="77"/>
      <c r="AD49" s="77"/>
      <c r="AE49" s="81"/>
    </row>
    <row r="50" spans="1:31" ht="75">
      <c r="A50" s="76" t="s">
        <v>323</v>
      </c>
      <c r="B50" s="98" t="s">
        <v>30</v>
      </c>
      <c r="C50" s="12" t="s">
        <v>70</v>
      </c>
      <c r="D50" s="14" t="s">
        <v>5</v>
      </c>
      <c r="E50" s="14" t="s">
        <v>5</v>
      </c>
      <c r="F50" s="26"/>
      <c r="G50" s="12" t="s">
        <v>76</v>
      </c>
      <c r="H50" s="13">
        <f>SUM(I50:S50)</f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26"/>
      <c r="P50" s="26"/>
      <c r="Q50" s="26"/>
      <c r="R50" s="26"/>
      <c r="S50" s="78"/>
      <c r="T50" s="79">
        <f t="shared" si="0"/>
        <v>337.4</v>
      </c>
      <c r="U50" s="13">
        <v>337.4</v>
      </c>
      <c r="V50" s="13">
        <v>0</v>
      </c>
      <c r="W50" s="13">
        <v>0</v>
      </c>
      <c r="X50" s="13">
        <v>0</v>
      </c>
      <c r="Y50" s="13">
        <v>0</v>
      </c>
      <c r="Z50" s="80">
        <v>0</v>
      </c>
      <c r="AA50" s="77"/>
      <c r="AB50" s="77"/>
      <c r="AC50" s="77"/>
      <c r="AD50" s="77"/>
      <c r="AE50" s="81"/>
    </row>
    <row r="51" spans="1:31" s="133" customFormat="1" ht="37.5">
      <c r="A51" s="264" t="s">
        <v>324</v>
      </c>
      <c r="B51" s="272" t="s">
        <v>102</v>
      </c>
      <c r="C51" s="150" t="s">
        <v>8</v>
      </c>
      <c r="D51" s="273" t="s">
        <v>5</v>
      </c>
      <c r="E51" s="273" t="s">
        <v>5</v>
      </c>
      <c r="F51" s="229"/>
      <c r="G51" s="227" t="s">
        <v>134</v>
      </c>
      <c r="H51" s="190">
        <f>SUM(I51:S53)</f>
        <v>12277.199999999999</v>
      </c>
      <c r="I51" s="122">
        <v>3049.7</v>
      </c>
      <c r="J51" s="122">
        <f>7407.4+1500-8907.4</f>
        <v>0</v>
      </c>
      <c r="K51" s="122">
        <f>8907.4-0.2</f>
        <v>8907.199999999999</v>
      </c>
      <c r="L51" s="122">
        <v>0</v>
      </c>
      <c r="M51" s="122">
        <v>0</v>
      </c>
      <c r="N51" s="122">
        <v>0</v>
      </c>
      <c r="O51" s="136"/>
      <c r="P51" s="136"/>
      <c r="Q51" s="136"/>
      <c r="R51" s="136"/>
      <c r="S51" s="137"/>
      <c r="T51" s="151">
        <f t="shared" si="0"/>
        <v>11956.899999999998</v>
      </c>
      <c r="U51" s="122">
        <v>3049.7</v>
      </c>
      <c r="V51" s="122">
        <f>7407.4+1500-8907.4</f>
        <v>0</v>
      </c>
      <c r="W51" s="122">
        <f>8907.4-0.2</f>
        <v>8907.199999999999</v>
      </c>
      <c r="X51" s="122">
        <v>0</v>
      </c>
      <c r="Y51" s="122">
        <v>0</v>
      </c>
      <c r="Z51" s="135">
        <v>0</v>
      </c>
      <c r="AA51" s="138"/>
      <c r="AB51" s="138"/>
      <c r="AC51" s="138"/>
      <c r="AD51" s="138"/>
      <c r="AE51" s="139"/>
    </row>
    <row r="52" spans="1:31" s="133" customFormat="1" ht="93.75">
      <c r="A52" s="264"/>
      <c r="B52" s="272"/>
      <c r="C52" s="150" t="s">
        <v>112</v>
      </c>
      <c r="D52" s="273"/>
      <c r="E52" s="273"/>
      <c r="F52" s="229"/>
      <c r="G52" s="227"/>
      <c r="H52" s="190"/>
      <c r="I52" s="122">
        <v>0</v>
      </c>
      <c r="J52" s="122">
        <f>235.1-235.1</f>
        <v>0</v>
      </c>
      <c r="K52" s="122">
        <f>235.1</f>
        <v>235.1</v>
      </c>
      <c r="L52" s="122">
        <v>0</v>
      </c>
      <c r="M52" s="122">
        <v>35.2</v>
      </c>
      <c r="N52" s="122">
        <v>0</v>
      </c>
      <c r="O52" s="136"/>
      <c r="P52" s="136"/>
      <c r="Q52" s="136"/>
      <c r="R52" s="136"/>
      <c r="S52" s="137"/>
      <c r="T52" s="151">
        <f t="shared" si="0"/>
        <v>470.09999999999997</v>
      </c>
      <c r="U52" s="122">
        <v>0</v>
      </c>
      <c r="V52" s="122">
        <f>235.1-235.1</f>
        <v>0</v>
      </c>
      <c r="W52" s="122">
        <f>235.1</f>
        <v>235.1</v>
      </c>
      <c r="X52" s="122">
        <f>235-35.2</f>
        <v>199.8</v>
      </c>
      <c r="Y52" s="122">
        <v>35.2</v>
      </c>
      <c r="Z52" s="135">
        <v>0</v>
      </c>
      <c r="AA52" s="138"/>
      <c r="AB52" s="138"/>
      <c r="AC52" s="138"/>
      <c r="AD52" s="138"/>
      <c r="AE52" s="139"/>
    </row>
    <row r="53" spans="1:31" s="133" customFormat="1" ht="18.75">
      <c r="A53" s="264"/>
      <c r="B53" s="272"/>
      <c r="C53" s="150" t="s">
        <v>52</v>
      </c>
      <c r="D53" s="273"/>
      <c r="E53" s="273"/>
      <c r="F53" s="229"/>
      <c r="G53" s="227"/>
      <c r="H53" s="190"/>
      <c r="I53" s="122">
        <v>14.9</v>
      </c>
      <c r="J53" s="122">
        <f>35.1-35.1</f>
        <v>0</v>
      </c>
      <c r="K53" s="122">
        <v>35.1</v>
      </c>
      <c r="L53" s="122">
        <v>0</v>
      </c>
      <c r="M53" s="122">
        <v>0</v>
      </c>
      <c r="N53" s="122">
        <v>0</v>
      </c>
      <c r="O53" s="136"/>
      <c r="P53" s="136"/>
      <c r="Q53" s="136"/>
      <c r="R53" s="136"/>
      <c r="S53" s="137"/>
      <c r="T53" s="151">
        <f t="shared" si="0"/>
        <v>50</v>
      </c>
      <c r="U53" s="122">
        <v>14.9</v>
      </c>
      <c r="V53" s="122">
        <f>35.1-35.1</f>
        <v>0</v>
      </c>
      <c r="W53" s="122">
        <v>35.1</v>
      </c>
      <c r="X53" s="122">
        <v>0</v>
      </c>
      <c r="Y53" s="122">
        <v>0</v>
      </c>
      <c r="Z53" s="135">
        <v>0</v>
      </c>
      <c r="AA53" s="138"/>
      <c r="AB53" s="138"/>
      <c r="AC53" s="138"/>
      <c r="AD53" s="138"/>
      <c r="AE53" s="139"/>
    </row>
    <row r="54" spans="1:31" ht="37.5">
      <c r="A54" s="211" t="s">
        <v>325</v>
      </c>
      <c r="B54" s="201" t="s">
        <v>53</v>
      </c>
      <c r="C54" s="12" t="s">
        <v>8</v>
      </c>
      <c r="D54" s="202" t="s">
        <v>5</v>
      </c>
      <c r="E54" s="202" t="s">
        <v>5</v>
      </c>
      <c r="F54" s="203"/>
      <c r="G54" s="189" t="s">
        <v>99</v>
      </c>
      <c r="H54" s="191">
        <f>SUM(I54:S56)</f>
        <v>3436.2</v>
      </c>
      <c r="I54" s="13">
        <v>0</v>
      </c>
      <c r="J54" s="13">
        <v>3149.5</v>
      </c>
      <c r="K54" s="13">
        <v>0</v>
      </c>
      <c r="L54" s="13">
        <v>0</v>
      </c>
      <c r="M54" s="13">
        <v>0</v>
      </c>
      <c r="N54" s="13">
        <v>0</v>
      </c>
      <c r="O54" s="26"/>
      <c r="P54" s="26"/>
      <c r="Q54" s="26"/>
      <c r="R54" s="26"/>
      <c r="S54" s="78"/>
      <c r="T54" s="79">
        <f t="shared" si="0"/>
        <v>3149.5</v>
      </c>
      <c r="U54" s="13">
        <v>0</v>
      </c>
      <c r="V54" s="13">
        <v>3149.5</v>
      </c>
      <c r="W54" s="13">
        <v>0</v>
      </c>
      <c r="X54" s="13">
        <v>0</v>
      </c>
      <c r="Y54" s="13">
        <v>0</v>
      </c>
      <c r="Z54" s="80">
        <v>0</v>
      </c>
      <c r="AA54" s="77"/>
      <c r="AB54" s="77"/>
      <c r="AC54" s="77"/>
      <c r="AD54" s="77"/>
      <c r="AE54" s="81"/>
    </row>
    <row r="55" spans="1:31" ht="18.75">
      <c r="A55" s="211"/>
      <c r="B55" s="201"/>
      <c r="C55" s="12" t="s">
        <v>100</v>
      </c>
      <c r="D55" s="202"/>
      <c r="E55" s="202"/>
      <c r="F55" s="203"/>
      <c r="G55" s="189"/>
      <c r="H55" s="191"/>
      <c r="I55" s="13">
        <v>0</v>
      </c>
      <c r="J55" s="13">
        <f>55-55</f>
        <v>0</v>
      </c>
      <c r="K55" s="13">
        <v>0</v>
      </c>
      <c r="L55" s="13">
        <v>0</v>
      </c>
      <c r="M55" s="13">
        <v>0</v>
      </c>
      <c r="N55" s="13">
        <v>0</v>
      </c>
      <c r="O55" s="26"/>
      <c r="P55" s="26"/>
      <c r="Q55" s="26"/>
      <c r="R55" s="26"/>
      <c r="S55" s="78"/>
      <c r="T55" s="79">
        <f t="shared" si="0"/>
        <v>0</v>
      </c>
      <c r="U55" s="13">
        <v>0</v>
      </c>
      <c r="V55" s="13">
        <f>55-55</f>
        <v>0</v>
      </c>
      <c r="W55" s="13">
        <v>0</v>
      </c>
      <c r="X55" s="13">
        <v>0</v>
      </c>
      <c r="Y55" s="13">
        <v>0</v>
      </c>
      <c r="Z55" s="80">
        <v>0</v>
      </c>
      <c r="AA55" s="77"/>
      <c r="AB55" s="77"/>
      <c r="AC55" s="77"/>
      <c r="AD55" s="77"/>
      <c r="AE55" s="81"/>
    </row>
    <row r="56" spans="1:31" ht="75">
      <c r="A56" s="211"/>
      <c r="B56" s="201"/>
      <c r="C56" s="12" t="s">
        <v>74</v>
      </c>
      <c r="D56" s="202"/>
      <c r="E56" s="202"/>
      <c r="F56" s="203"/>
      <c r="G56" s="189"/>
      <c r="H56" s="191"/>
      <c r="I56" s="13">
        <v>0</v>
      </c>
      <c r="J56" s="13">
        <f>930.7-644</f>
        <v>286.70000000000005</v>
      </c>
      <c r="K56" s="13">
        <v>0</v>
      </c>
      <c r="L56" s="13">
        <v>0</v>
      </c>
      <c r="M56" s="13">
        <v>0</v>
      </c>
      <c r="N56" s="13">
        <v>0</v>
      </c>
      <c r="O56" s="26"/>
      <c r="P56" s="26"/>
      <c r="Q56" s="26"/>
      <c r="R56" s="26"/>
      <c r="S56" s="78"/>
      <c r="T56" s="79">
        <f t="shared" si="0"/>
        <v>286.70000000000005</v>
      </c>
      <c r="U56" s="13">
        <v>0</v>
      </c>
      <c r="V56" s="13">
        <f>930.7-644</f>
        <v>286.70000000000005</v>
      </c>
      <c r="W56" s="13">
        <v>0</v>
      </c>
      <c r="X56" s="13">
        <v>0</v>
      </c>
      <c r="Y56" s="13">
        <v>0</v>
      </c>
      <c r="Z56" s="80">
        <v>0</v>
      </c>
      <c r="AA56" s="77"/>
      <c r="AB56" s="77"/>
      <c r="AC56" s="77"/>
      <c r="AD56" s="77"/>
      <c r="AE56" s="81"/>
    </row>
    <row r="57" spans="1:31" ht="37.5">
      <c r="A57" s="274" t="s">
        <v>326</v>
      </c>
      <c r="B57" s="198" t="s">
        <v>106</v>
      </c>
      <c r="C57" s="12" t="s">
        <v>8</v>
      </c>
      <c r="D57" s="202" t="s">
        <v>5</v>
      </c>
      <c r="E57" s="202" t="s">
        <v>5</v>
      </c>
      <c r="F57" s="226"/>
      <c r="G57" s="195" t="s">
        <v>99</v>
      </c>
      <c r="H57" s="220">
        <f>SUM(I57:S59)</f>
        <v>2626.6</v>
      </c>
      <c r="I57" s="13">
        <v>0</v>
      </c>
      <c r="J57" s="13">
        <v>0</v>
      </c>
      <c r="K57" s="13">
        <f>1981.6</f>
        <v>1981.6</v>
      </c>
      <c r="L57" s="13">
        <v>0</v>
      </c>
      <c r="M57" s="13">
        <v>0</v>
      </c>
      <c r="N57" s="13">
        <v>0</v>
      </c>
      <c r="O57" s="26"/>
      <c r="P57" s="26"/>
      <c r="Q57" s="26"/>
      <c r="R57" s="26"/>
      <c r="S57" s="78"/>
      <c r="T57" s="79">
        <f t="shared" si="0"/>
        <v>1981.6</v>
      </c>
      <c r="U57" s="13">
        <v>0</v>
      </c>
      <c r="V57" s="13">
        <v>0</v>
      </c>
      <c r="W57" s="13">
        <f>1981.6</f>
        <v>1981.6</v>
      </c>
      <c r="X57" s="13">
        <v>0</v>
      </c>
      <c r="Y57" s="13">
        <v>0</v>
      </c>
      <c r="Z57" s="80">
        <v>0</v>
      </c>
      <c r="AA57" s="77"/>
      <c r="AB57" s="77"/>
      <c r="AC57" s="77"/>
      <c r="AD57" s="77"/>
      <c r="AE57" s="81"/>
    </row>
    <row r="58" spans="1:31" ht="18.75">
      <c r="A58" s="267"/>
      <c r="B58" s="199"/>
      <c r="C58" s="12" t="s">
        <v>100</v>
      </c>
      <c r="D58" s="202"/>
      <c r="E58" s="202"/>
      <c r="F58" s="193"/>
      <c r="G58" s="196"/>
      <c r="H58" s="221"/>
      <c r="I58" s="13">
        <v>0</v>
      </c>
      <c r="J58" s="13">
        <v>0</v>
      </c>
      <c r="K58" s="13">
        <f>55-55</f>
        <v>0</v>
      </c>
      <c r="L58" s="13">
        <v>0</v>
      </c>
      <c r="M58" s="13">
        <v>0</v>
      </c>
      <c r="N58" s="13">
        <v>0</v>
      </c>
      <c r="O58" s="26"/>
      <c r="P58" s="26"/>
      <c r="Q58" s="26"/>
      <c r="R58" s="26"/>
      <c r="S58" s="78"/>
      <c r="T58" s="79">
        <f t="shared" si="0"/>
        <v>0</v>
      </c>
      <c r="U58" s="13">
        <v>0</v>
      </c>
      <c r="V58" s="13">
        <v>0</v>
      </c>
      <c r="W58" s="13">
        <f>55-55</f>
        <v>0</v>
      </c>
      <c r="X58" s="13">
        <v>0</v>
      </c>
      <c r="Y58" s="13">
        <v>0</v>
      </c>
      <c r="Z58" s="80">
        <v>0</v>
      </c>
      <c r="AA58" s="77"/>
      <c r="AB58" s="77"/>
      <c r="AC58" s="77"/>
      <c r="AD58" s="77"/>
      <c r="AE58" s="81"/>
    </row>
    <row r="59" spans="1:31" ht="93.75">
      <c r="A59" s="243"/>
      <c r="B59" s="200"/>
      <c r="C59" s="12" t="s">
        <v>119</v>
      </c>
      <c r="D59" s="202"/>
      <c r="E59" s="202"/>
      <c r="F59" s="208"/>
      <c r="G59" s="197"/>
      <c r="H59" s="206"/>
      <c r="I59" s="13">
        <v>0</v>
      </c>
      <c r="J59" s="13">
        <v>0</v>
      </c>
      <c r="K59" s="13">
        <f>643.8+1.2</f>
        <v>645</v>
      </c>
      <c r="L59" s="13">
        <v>0</v>
      </c>
      <c r="M59" s="13">
        <v>0</v>
      </c>
      <c r="N59" s="13">
        <v>0</v>
      </c>
      <c r="O59" s="26"/>
      <c r="P59" s="26"/>
      <c r="Q59" s="26"/>
      <c r="R59" s="26"/>
      <c r="S59" s="78"/>
      <c r="T59" s="79">
        <f t="shared" si="0"/>
        <v>645</v>
      </c>
      <c r="U59" s="13">
        <v>0</v>
      </c>
      <c r="V59" s="13">
        <v>0</v>
      </c>
      <c r="W59" s="13">
        <f>643.8+1.2</f>
        <v>645</v>
      </c>
      <c r="X59" s="13">
        <v>0</v>
      </c>
      <c r="Y59" s="13">
        <v>0</v>
      </c>
      <c r="Z59" s="80">
        <v>0</v>
      </c>
      <c r="AA59" s="77"/>
      <c r="AB59" s="77"/>
      <c r="AC59" s="77"/>
      <c r="AD59" s="77"/>
      <c r="AE59" s="81"/>
    </row>
    <row r="60" spans="1:31" ht="113.25" thickBot="1">
      <c r="A60" s="50" t="s">
        <v>327</v>
      </c>
      <c r="B60" s="99" t="s">
        <v>54</v>
      </c>
      <c r="C60" s="82" t="s">
        <v>9</v>
      </c>
      <c r="D60" s="15" t="s">
        <v>5</v>
      </c>
      <c r="E60" s="15" t="s">
        <v>5</v>
      </c>
      <c r="F60" s="23">
        <f>1483/1000</f>
        <v>1.483</v>
      </c>
      <c r="G60" s="82" t="s">
        <v>18</v>
      </c>
      <c r="H60" s="19">
        <f>SUM(I60:S60)</f>
        <v>17346.899999999998</v>
      </c>
      <c r="I60" s="19">
        <v>16586.6</v>
      </c>
      <c r="J60" s="19">
        <f>590+170.6-0.3</f>
        <v>760.3000000000001</v>
      </c>
      <c r="K60" s="19">
        <v>0</v>
      </c>
      <c r="L60" s="19">
        <v>0</v>
      </c>
      <c r="M60" s="19">
        <v>0</v>
      </c>
      <c r="N60" s="19">
        <v>0</v>
      </c>
      <c r="O60" s="23"/>
      <c r="P60" s="23"/>
      <c r="Q60" s="23"/>
      <c r="R60" s="23"/>
      <c r="S60" s="52"/>
      <c r="T60" s="53">
        <f t="shared" si="0"/>
        <v>17514.7</v>
      </c>
      <c r="U60" s="19">
        <v>16754.4</v>
      </c>
      <c r="V60" s="19">
        <f>590+170.6-0.3</f>
        <v>760.3000000000001</v>
      </c>
      <c r="W60" s="19">
        <v>0</v>
      </c>
      <c r="X60" s="19">
        <v>0</v>
      </c>
      <c r="Y60" s="19">
        <v>0</v>
      </c>
      <c r="Z60" s="83">
        <v>0</v>
      </c>
      <c r="AA60" s="51"/>
      <c r="AB60" s="51"/>
      <c r="AC60" s="51"/>
      <c r="AD60" s="51"/>
      <c r="AE60" s="54"/>
    </row>
    <row r="61" spans="1:31" ht="113.25" customHeight="1" thickBot="1">
      <c r="A61" s="56" t="s">
        <v>328</v>
      </c>
      <c r="B61" s="20" t="s">
        <v>125</v>
      </c>
      <c r="C61" s="18" t="s">
        <v>130</v>
      </c>
      <c r="D61" s="16" t="s">
        <v>5</v>
      </c>
      <c r="E61" s="16" t="s">
        <v>5</v>
      </c>
      <c r="F61" s="17"/>
      <c r="G61" s="18" t="s">
        <v>76</v>
      </c>
      <c r="H61" s="5">
        <f>SUM(I61:S61)</f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7"/>
      <c r="P61" s="17"/>
      <c r="Q61" s="17"/>
      <c r="R61" s="17"/>
      <c r="S61" s="58"/>
      <c r="T61" s="59">
        <f>U61+V61+W61+X61+Y61+Z61</f>
        <v>25</v>
      </c>
      <c r="U61" s="5">
        <v>0</v>
      </c>
      <c r="V61" s="5">
        <v>0</v>
      </c>
      <c r="W61" s="5">
        <v>0</v>
      </c>
      <c r="X61" s="5">
        <v>25</v>
      </c>
      <c r="Y61" s="5">
        <v>0</v>
      </c>
      <c r="Z61" s="60">
        <v>0</v>
      </c>
      <c r="AA61" s="57"/>
      <c r="AB61" s="57"/>
      <c r="AC61" s="57"/>
      <c r="AD61" s="57"/>
      <c r="AE61" s="61"/>
    </row>
    <row r="62" spans="1:31" s="6" customFormat="1" ht="75">
      <c r="A62" s="230" t="s">
        <v>62</v>
      </c>
      <c r="B62" s="232" t="s">
        <v>128</v>
      </c>
      <c r="C62" s="152" t="s">
        <v>107</v>
      </c>
      <c r="D62" s="239" t="s">
        <v>5</v>
      </c>
      <c r="E62" s="239" t="s">
        <v>5</v>
      </c>
      <c r="F62" s="204" t="s">
        <v>311</v>
      </c>
      <c r="G62" s="224" t="s">
        <v>134</v>
      </c>
      <c r="H62" s="222">
        <v>160877.78</v>
      </c>
      <c r="I62" s="126">
        <v>0</v>
      </c>
      <c r="J62" s="126">
        <v>0</v>
      </c>
      <c r="K62" s="126">
        <v>1401.9</v>
      </c>
      <c r="L62" s="126">
        <v>247.4</v>
      </c>
      <c r="M62" s="126">
        <v>0</v>
      </c>
      <c r="N62" s="126">
        <v>0</v>
      </c>
      <c r="O62" s="128"/>
      <c r="P62" s="128"/>
      <c r="Q62" s="128"/>
      <c r="R62" s="128"/>
      <c r="S62" s="129"/>
      <c r="T62" s="130">
        <f aca="true" t="shared" si="1" ref="T62:T69">U62+V62+W62+X62+Y62+Z62</f>
        <v>1649.3000000000002</v>
      </c>
      <c r="U62" s="126">
        <v>0</v>
      </c>
      <c r="V62" s="126">
        <v>0</v>
      </c>
      <c r="W62" s="126">
        <v>1401.9</v>
      </c>
      <c r="X62" s="126">
        <v>247.4</v>
      </c>
      <c r="Y62" s="126">
        <v>0</v>
      </c>
      <c r="Z62" s="127">
        <v>0</v>
      </c>
      <c r="AA62" s="131"/>
      <c r="AB62" s="131"/>
      <c r="AC62" s="131"/>
      <c r="AD62" s="131"/>
      <c r="AE62" s="132"/>
    </row>
    <row r="63" spans="1:31" s="6" customFormat="1" ht="75">
      <c r="A63" s="230"/>
      <c r="B63" s="233"/>
      <c r="C63" s="150" t="s">
        <v>74</v>
      </c>
      <c r="D63" s="239"/>
      <c r="E63" s="239"/>
      <c r="F63" s="204"/>
      <c r="G63" s="224"/>
      <c r="H63" s="222"/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136"/>
      <c r="P63" s="136"/>
      <c r="Q63" s="136"/>
      <c r="R63" s="136"/>
      <c r="S63" s="137"/>
      <c r="T63" s="151">
        <f t="shared" si="1"/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35">
        <v>0</v>
      </c>
      <c r="AA63" s="138"/>
      <c r="AB63" s="138"/>
      <c r="AC63" s="138"/>
      <c r="AD63" s="138"/>
      <c r="AE63" s="139"/>
    </row>
    <row r="64" spans="1:31" s="6" customFormat="1" ht="75">
      <c r="A64" s="230"/>
      <c r="B64" s="233"/>
      <c r="C64" s="150" t="s">
        <v>108</v>
      </c>
      <c r="D64" s="239"/>
      <c r="E64" s="239"/>
      <c r="F64" s="204"/>
      <c r="G64" s="224"/>
      <c r="H64" s="222"/>
      <c r="I64" s="122">
        <v>0</v>
      </c>
      <c r="J64" s="122">
        <v>0</v>
      </c>
      <c r="K64" s="122">
        <v>105.7</v>
      </c>
      <c r="L64" s="122">
        <v>158.6</v>
      </c>
      <c r="M64" s="122">
        <v>0</v>
      </c>
      <c r="N64" s="122">
        <v>0</v>
      </c>
      <c r="O64" s="136"/>
      <c r="P64" s="136"/>
      <c r="Q64" s="136"/>
      <c r="R64" s="136"/>
      <c r="S64" s="137"/>
      <c r="T64" s="151">
        <f t="shared" si="1"/>
        <v>264.3</v>
      </c>
      <c r="U64" s="122">
        <v>0</v>
      </c>
      <c r="V64" s="122">
        <v>0</v>
      </c>
      <c r="W64" s="122">
        <v>105.7</v>
      </c>
      <c r="X64" s="122">
        <v>158.6</v>
      </c>
      <c r="Y64" s="122">
        <v>0</v>
      </c>
      <c r="Z64" s="135">
        <v>0</v>
      </c>
      <c r="AA64" s="138"/>
      <c r="AB64" s="138"/>
      <c r="AC64" s="138"/>
      <c r="AD64" s="138"/>
      <c r="AE64" s="139"/>
    </row>
    <row r="65" spans="1:31" s="6" customFormat="1" ht="37.5">
      <c r="A65" s="230"/>
      <c r="B65" s="233"/>
      <c r="C65" s="150" t="s">
        <v>109</v>
      </c>
      <c r="D65" s="239"/>
      <c r="E65" s="239"/>
      <c r="F65" s="204"/>
      <c r="G65" s="224"/>
      <c r="H65" s="222"/>
      <c r="I65" s="122">
        <v>0</v>
      </c>
      <c r="J65" s="122">
        <v>0</v>
      </c>
      <c r="K65" s="122">
        <v>3387</v>
      </c>
      <c r="L65" s="122">
        <v>0</v>
      </c>
      <c r="M65" s="122">
        <v>0</v>
      </c>
      <c r="N65" s="122">
        <v>0</v>
      </c>
      <c r="O65" s="136"/>
      <c r="P65" s="136"/>
      <c r="Q65" s="136"/>
      <c r="R65" s="136"/>
      <c r="S65" s="137"/>
      <c r="T65" s="151">
        <f t="shared" si="1"/>
        <v>3387</v>
      </c>
      <c r="U65" s="122">
        <v>0</v>
      </c>
      <c r="V65" s="122">
        <v>0</v>
      </c>
      <c r="W65" s="122">
        <v>3387</v>
      </c>
      <c r="X65" s="122">
        <v>0</v>
      </c>
      <c r="Y65" s="122">
        <v>0</v>
      </c>
      <c r="Z65" s="135">
        <v>0</v>
      </c>
      <c r="AA65" s="138"/>
      <c r="AB65" s="138"/>
      <c r="AC65" s="138"/>
      <c r="AD65" s="138"/>
      <c r="AE65" s="139"/>
    </row>
    <row r="66" spans="1:31" s="6" customFormat="1" ht="18.75">
      <c r="A66" s="230"/>
      <c r="B66" s="233"/>
      <c r="C66" s="150" t="s">
        <v>69</v>
      </c>
      <c r="D66" s="239"/>
      <c r="E66" s="239"/>
      <c r="F66" s="204"/>
      <c r="G66" s="224"/>
      <c r="H66" s="222"/>
      <c r="I66" s="122">
        <v>0</v>
      </c>
      <c r="J66" s="122">
        <v>0</v>
      </c>
      <c r="K66" s="122">
        <v>45.7</v>
      </c>
      <c r="L66" s="122">
        <v>54.2</v>
      </c>
      <c r="M66" s="122">
        <v>0</v>
      </c>
      <c r="N66" s="122">
        <v>0</v>
      </c>
      <c r="O66" s="136"/>
      <c r="P66" s="136"/>
      <c r="Q66" s="136"/>
      <c r="R66" s="136"/>
      <c r="S66" s="137"/>
      <c r="T66" s="151">
        <f t="shared" si="1"/>
        <v>99.9</v>
      </c>
      <c r="U66" s="122">
        <v>0</v>
      </c>
      <c r="V66" s="122">
        <v>0</v>
      </c>
      <c r="W66" s="122">
        <v>45.7</v>
      </c>
      <c r="X66" s="122">
        <v>54.2</v>
      </c>
      <c r="Y66" s="122">
        <v>0</v>
      </c>
      <c r="Z66" s="135">
        <v>0</v>
      </c>
      <c r="AA66" s="138"/>
      <c r="AB66" s="138"/>
      <c r="AC66" s="138"/>
      <c r="AD66" s="138"/>
      <c r="AE66" s="139"/>
    </row>
    <row r="67" spans="1:31" s="6" customFormat="1" ht="18.75">
      <c r="A67" s="230"/>
      <c r="B67" s="233"/>
      <c r="C67" s="150" t="s">
        <v>110</v>
      </c>
      <c r="D67" s="239"/>
      <c r="E67" s="239"/>
      <c r="F67" s="204"/>
      <c r="G67" s="224"/>
      <c r="H67" s="222"/>
      <c r="I67" s="122">
        <v>0</v>
      </c>
      <c r="J67" s="122">
        <v>0</v>
      </c>
      <c r="K67" s="122">
        <v>568.3</v>
      </c>
      <c r="L67" s="122">
        <v>0</v>
      </c>
      <c r="M67" s="122">
        <v>0</v>
      </c>
      <c r="N67" s="122">
        <v>0</v>
      </c>
      <c r="O67" s="136"/>
      <c r="P67" s="136"/>
      <c r="Q67" s="136"/>
      <c r="R67" s="136"/>
      <c r="S67" s="137"/>
      <c r="T67" s="151">
        <f t="shared" si="1"/>
        <v>811.8000000000001</v>
      </c>
      <c r="U67" s="122">
        <v>0</v>
      </c>
      <c r="V67" s="122">
        <f>831.7-568.3-19.9</f>
        <v>243.50000000000009</v>
      </c>
      <c r="W67" s="122">
        <v>568.3</v>
      </c>
      <c r="X67" s="122">
        <v>0</v>
      </c>
      <c r="Y67" s="122">
        <v>0</v>
      </c>
      <c r="Z67" s="135">
        <v>0</v>
      </c>
      <c r="AA67" s="138"/>
      <c r="AB67" s="138"/>
      <c r="AC67" s="138"/>
      <c r="AD67" s="138"/>
      <c r="AE67" s="139"/>
    </row>
    <row r="68" spans="1:31" s="6" customFormat="1" ht="37.5">
      <c r="A68" s="230"/>
      <c r="B68" s="233"/>
      <c r="C68" s="134" t="s">
        <v>8</v>
      </c>
      <c r="D68" s="239"/>
      <c r="E68" s="239"/>
      <c r="F68" s="204"/>
      <c r="G68" s="224"/>
      <c r="H68" s="222"/>
      <c r="I68" s="122">
        <v>0</v>
      </c>
      <c r="J68" s="122">
        <v>0</v>
      </c>
      <c r="K68" s="122">
        <v>73840.6</v>
      </c>
      <c r="L68" s="122">
        <v>90731.3</v>
      </c>
      <c r="M68" s="122">
        <f>10000+3993.1-3993.1</f>
        <v>10000</v>
      </c>
      <c r="N68" s="122">
        <v>3993.1</v>
      </c>
      <c r="O68" s="136"/>
      <c r="P68" s="136"/>
      <c r="Q68" s="136"/>
      <c r="R68" s="136"/>
      <c r="S68" s="137"/>
      <c r="T68" s="151">
        <f t="shared" si="1"/>
        <v>178565.00000000003</v>
      </c>
      <c r="U68" s="122">
        <v>0</v>
      </c>
      <c r="V68" s="122">
        <v>0</v>
      </c>
      <c r="W68" s="122">
        <v>73840.6</v>
      </c>
      <c r="X68" s="122">
        <v>90731.3</v>
      </c>
      <c r="Y68" s="122">
        <f>10000+3993.1-3993.1</f>
        <v>10000</v>
      </c>
      <c r="Z68" s="122">
        <v>3993.1</v>
      </c>
      <c r="AA68" s="138"/>
      <c r="AB68" s="138"/>
      <c r="AC68" s="138"/>
      <c r="AD68" s="138"/>
      <c r="AE68" s="139"/>
    </row>
    <row r="69" spans="1:31" s="6" customFormat="1" ht="33" customHeight="1" thickBot="1">
      <c r="A69" s="231"/>
      <c r="B69" s="234"/>
      <c r="C69" s="153" t="s">
        <v>52</v>
      </c>
      <c r="D69" s="173"/>
      <c r="E69" s="173"/>
      <c r="F69" s="205"/>
      <c r="G69" s="225"/>
      <c r="H69" s="223"/>
      <c r="I69" s="123">
        <v>0</v>
      </c>
      <c r="J69" s="123">
        <v>0</v>
      </c>
      <c r="K69" s="123">
        <f>160.5</f>
        <v>160.5</v>
      </c>
      <c r="L69" s="123">
        <v>89.4</v>
      </c>
      <c r="M69" s="123">
        <v>9.9</v>
      </c>
      <c r="N69" s="123">
        <v>0</v>
      </c>
      <c r="O69" s="143"/>
      <c r="P69" s="143"/>
      <c r="Q69" s="143"/>
      <c r="R69" s="143"/>
      <c r="S69" s="144"/>
      <c r="T69" s="154">
        <f t="shared" si="1"/>
        <v>259.8</v>
      </c>
      <c r="U69" s="123">
        <v>0</v>
      </c>
      <c r="V69" s="123">
        <v>0</v>
      </c>
      <c r="W69" s="123">
        <f>160.5</f>
        <v>160.5</v>
      </c>
      <c r="X69" s="123">
        <v>89.4</v>
      </c>
      <c r="Y69" s="123">
        <v>9.9</v>
      </c>
      <c r="Z69" s="155">
        <v>0</v>
      </c>
      <c r="AA69" s="147"/>
      <c r="AB69" s="147"/>
      <c r="AC69" s="147"/>
      <c r="AD69" s="147"/>
      <c r="AE69" s="148"/>
    </row>
    <row r="70" spans="1:31" ht="169.5" thickBot="1">
      <c r="A70" s="56" t="s">
        <v>63</v>
      </c>
      <c r="B70" s="20" t="s">
        <v>23</v>
      </c>
      <c r="C70" s="18" t="s">
        <v>10</v>
      </c>
      <c r="D70" s="16" t="s">
        <v>5</v>
      </c>
      <c r="E70" s="16" t="s">
        <v>5</v>
      </c>
      <c r="F70" s="17" t="s">
        <v>17</v>
      </c>
      <c r="G70" s="18" t="s">
        <v>18</v>
      </c>
      <c r="H70" s="5">
        <f>23228.4+2558.6</f>
        <v>25787</v>
      </c>
      <c r="I70" s="5">
        <v>12649.1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7"/>
      <c r="P70" s="17"/>
      <c r="Q70" s="17"/>
      <c r="R70" s="17"/>
      <c r="S70" s="58"/>
      <c r="T70" s="59">
        <f t="shared" si="0"/>
        <v>12649.1</v>
      </c>
      <c r="U70" s="5">
        <v>12649.1</v>
      </c>
      <c r="V70" s="5">
        <v>0</v>
      </c>
      <c r="W70" s="5">
        <v>0</v>
      </c>
      <c r="X70" s="5">
        <v>0</v>
      </c>
      <c r="Y70" s="5">
        <v>0</v>
      </c>
      <c r="Z70" s="60">
        <v>0</v>
      </c>
      <c r="AA70" s="57"/>
      <c r="AB70" s="57"/>
      <c r="AC70" s="57"/>
      <c r="AD70" s="57"/>
      <c r="AE70" s="61"/>
    </row>
    <row r="71" spans="1:31" ht="57" thickBot="1">
      <c r="A71" s="56" t="s">
        <v>64</v>
      </c>
      <c r="B71" s="20" t="s">
        <v>32</v>
      </c>
      <c r="C71" s="18" t="s">
        <v>31</v>
      </c>
      <c r="D71" s="16" t="s">
        <v>5</v>
      </c>
      <c r="E71" s="16" t="s">
        <v>5</v>
      </c>
      <c r="F71" s="17" t="s">
        <v>17</v>
      </c>
      <c r="G71" s="18" t="s">
        <v>76</v>
      </c>
      <c r="H71" s="5">
        <f>SUM(I71:S71)</f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7"/>
      <c r="P71" s="17"/>
      <c r="Q71" s="17"/>
      <c r="R71" s="17"/>
      <c r="S71" s="58"/>
      <c r="T71" s="59">
        <f t="shared" si="0"/>
        <v>15000</v>
      </c>
      <c r="U71" s="5">
        <v>15000</v>
      </c>
      <c r="V71" s="5">
        <v>0</v>
      </c>
      <c r="W71" s="5">
        <v>0</v>
      </c>
      <c r="X71" s="5">
        <v>0</v>
      </c>
      <c r="Y71" s="5">
        <v>0</v>
      </c>
      <c r="Z71" s="60">
        <v>0</v>
      </c>
      <c r="AA71" s="57"/>
      <c r="AB71" s="57"/>
      <c r="AC71" s="57"/>
      <c r="AD71" s="57"/>
      <c r="AE71" s="61"/>
    </row>
    <row r="72" spans="1:31" ht="94.5" thickBot="1">
      <c r="A72" s="56" t="s">
        <v>65</v>
      </c>
      <c r="B72" s="20" t="s">
        <v>47</v>
      </c>
      <c r="C72" s="18" t="s">
        <v>36</v>
      </c>
      <c r="D72" s="16" t="s">
        <v>5</v>
      </c>
      <c r="E72" s="16" t="s">
        <v>5</v>
      </c>
      <c r="F72" s="17"/>
      <c r="G72" s="18" t="s">
        <v>76</v>
      </c>
      <c r="H72" s="5">
        <f>SUM(I72:S72)</f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7"/>
      <c r="P72" s="17"/>
      <c r="Q72" s="17"/>
      <c r="R72" s="17"/>
      <c r="S72" s="58"/>
      <c r="T72" s="59">
        <f t="shared" si="0"/>
        <v>10620.2</v>
      </c>
      <c r="U72" s="5">
        <v>10620.2</v>
      </c>
      <c r="V72" s="5">
        <v>0</v>
      </c>
      <c r="W72" s="5">
        <v>0</v>
      </c>
      <c r="X72" s="5">
        <v>0</v>
      </c>
      <c r="Y72" s="5">
        <v>0</v>
      </c>
      <c r="Z72" s="60">
        <v>0</v>
      </c>
      <c r="AA72" s="57"/>
      <c r="AB72" s="57"/>
      <c r="AC72" s="57"/>
      <c r="AD72" s="57"/>
      <c r="AE72" s="61"/>
    </row>
    <row r="73" spans="1:31" ht="56.25" customHeight="1">
      <c r="A73" s="183" t="s">
        <v>66</v>
      </c>
      <c r="B73" s="283" t="s">
        <v>83</v>
      </c>
      <c r="C73" s="7" t="s">
        <v>42</v>
      </c>
      <c r="D73" s="187" t="s">
        <v>5</v>
      </c>
      <c r="E73" s="187" t="s">
        <v>5</v>
      </c>
      <c r="F73" s="192">
        <f>849/1000</f>
        <v>0.849</v>
      </c>
      <c r="G73" s="213" t="s">
        <v>76</v>
      </c>
      <c r="H73" s="228">
        <f>SUM(I73:S74)</f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25"/>
      <c r="P73" s="25"/>
      <c r="Q73" s="25"/>
      <c r="R73" s="25"/>
      <c r="S73" s="72"/>
      <c r="T73" s="73">
        <f t="shared" si="0"/>
        <v>800.3</v>
      </c>
      <c r="U73" s="11">
        <v>800.3</v>
      </c>
      <c r="V73" s="11">
        <v>0</v>
      </c>
      <c r="W73" s="11">
        <v>0</v>
      </c>
      <c r="X73" s="11">
        <v>0</v>
      </c>
      <c r="Y73" s="11">
        <v>0</v>
      </c>
      <c r="Z73" s="74">
        <v>0</v>
      </c>
      <c r="AA73" s="70"/>
      <c r="AB73" s="70"/>
      <c r="AC73" s="70"/>
      <c r="AD73" s="70"/>
      <c r="AE73" s="75"/>
    </row>
    <row r="74" spans="1:31" s="100" customFormat="1" ht="93.75">
      <c r="A74" s="267"/>
      <c r="B74" s="199"/>
      <c r="C74" s="12" t="s">
        <v>114</v>
      </c>
      <c r="D74" s="253"/>
      <c r="E74" s="253"/>
      <c r="F74" s="193"/>
      <c r="G74" s="189"/>
      <c r="H74" s="191"/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26"/>
      <c r="P74" s="26"/>
      <c r="Q74" s="26"/>
      <c r="R74" s="26"/>
      <c r="S74" s="78"/>
      <c r="T74" s="79">
        <f t="shared" si="0"/>
        <v>74.3</v>
      </c>
      <c r="U74" s="13">
        <v>0</v>
      </c>
      <c r="V74" s="13">
        <v>0</v>
      </c>
      <c r="W74" s="13">
        <v>74.3</v>
      </c>
      <c r="X74" s="13">
        <v>0</v>
      </c>
      <c r="Y74" s="13">
        <v>0</v>
      </c>
      <c r="Z74" s="80">
        <v>0</v>
      </c>
      <c r="AA74" s="77"/>
      <c r="AB74" s="77"/>
      <c r="AC74" s="77"/>
      <c r="AD74" s="77"/>
      <c r="AE74" s="81"/>
    </row>
    <row r="75" spans="1:31" ht="75.75" thickBot="1">
      <c r="A75" s="184"/>
      <c r="B75" s="284"/>
      <c r="C75" s="18" t="s">
        <v>80</v>
      </c>
      <c r="D75" s="188"/>
      <c r="E75" s="188"/>
      <c r="F75" s="194"/>
      <c r="G75" s="18" t="s">
        <v>76</v>
      </c>
      <c r="H75" s="5">
        <f>SUM(I75:S75)</f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17"/>
      <c r="P75" s="17"/>
      <c r="Q75" s="17"/>
      <c r="R75" s="17"/>
      <c r="S75" s="58"/>
      <c r="T75" s="59">
        <f t="shared" si="0"/>
        <v>80</v>
      </c>
      <c r="U75" s="5">
        <v>0</v>
      </c>
      <c r="V75" s="5">
        <f>160-80</f>
        <v>80</v>
      </c>
      <c r="W75" s="5">
        <v>0</v>
      </c>
      <c r="X75" s="5">
        <v>0</v>
      </c>
      <c r="Y75" s="5">
        <v>0</v>
      </c>
      <c r="Z75" s="60">
        <v>0</v>
      </c>
      <c r="AA75" s="57"/>
      <c r="AB75" s="57"/>
      <c r="AC75" s="57"/>
      <c r="AD75" s="57"/>
      <c r="AE75" s="61"/>
    </row>
    <row r="76" spans="1:31" ht="57" thickBot="1">
      <c r="A76" s="62" t="s">
        <v>67</v>
      </c>
      <c r="B76" s="87" t="s">
        <v>312</v>
      </c>
      <c r="C76" s="88" t="s">
        <v>68</v>
      </c>
      <c r="D76" s="64" t="s">
        <v>5</v>
      </c>
      <c r="E76" s="64" t="s">
        <v>5</v>
      </c>
      <c r="F76" s="24">
        <f>950/1000</f>
        <v>0.95</v>
      </c>
      <c r="G76" s="88" t="s">
        <v>76</v>
      </c>
      <c r="H76" s="65">
        <f>SUM(I76:S76)</f>
        <v>2.1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24">
        <v>0</v>
      </c>
      <c r="P76" s="24">
        <v>0</v>
      </c>
      <c r="Q76" s="24">
        <v>2.1</v>
      </c>
      <c r="R76" s="24"/>
      <c r="S76" s="66"/>
      <c r="T76" s="67"/>
      <c r="U76" s="65"/>
      <c r="V76" s="65"/>
      <c r="W76" s="65"/>
      <c r="X76" s="65"/>
      <c r="Y76" s="65"/>
      <c r="Z76" s="68"/>
      <c r="AA76" s="63"/>
      <c r="AB76" s="63"/>
      <c r="AC76" s="63"/>
      <c r="AD76" s="63"/>
      <c r="AE76" s="69"/>
    </row>
    <row r="77" spans="1:31" s="100" customFormat="1" ht="89.25" customHeight="1">
      <c r="A77" s="183" t="s">
        <v>89</v>
      </c>
      <c r="B77" s="185" t="s">
        <v>46</v>
      </c>
      <c r="C77" s="7" t="s">
        <v>43</v>
      </c>
      <c r="D77" s="187" t="s">
        <v>5</v>
      </c>
      <c r="E77" s="187" t="s">
        <v>5</v>
      </c>
      <c r="F77" s="192" t="s">
        <v>17</v>
      </c>
      <c r="G77" s="7" t="s">
        <v>76</v>
      </c>
      <c r="H77" s="11">
        <f>SUM(I77:S77)</f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25"/>
      <c r="P77" s="25"/>
      <c r="Q77" s="25"/>
      <c r="R77" s="25"/>
      <c r="S77" s="72"/>
      <c r="T77" s="73">
        <f t="shared" si="0"/>
        <v>1335</v>
      </c>
      <c r="U77" s="11">
        <v>1335</v>
      </c>
      <c r="V77" s="11">
        <v>0</v>
      </c>
      <c r="W77" s="11">
        <v>0</v>
      </c>
      <c r="X77" s="11">
        <v>0</v>
      </c>
      <c r="Y77" s="11">
        <v>0</v>
      </c>
      <c r="Z77" s="74">
        <v>0</v>
      </c>
      <c r="AA77" s="70"/>
      <c r="AB77" s="70"/>
      <c r="AC77" s="70"/>
      <c r="AD77" s="70"/>
      <c r="AE77" s="75"/>
    </row>
    <row r="78" spans="1:31" ht="38.25" thickBot="1">
      <c r="A78" s="184"/>
      <c r="B78" s="186"/>
      <c r="C78" s="18" t="s">
        <v>8</v>
      </c>
      <c r="D78" s="188"/>
      <c r="E78" s="188"/>
      <c r="F78" s="194"/>
      <c r="G78" s="18" t="s">
        <v>136</v>
      </c>
      <c r="H78" s="5">
        <f>SUM(I78:S78)</f>
        <v>23769.6</v>
      </c>
      <c r="I78" s="5"/>
      <c r="J78" s="5"/>
      <c r="K78" s="5"/>
      <c r="L78" s="5"/>
      <c r="M78" s="5">
        <v>0</v>
      </c>
      <c r="N78" s="5">
        <v>23769.6</v>
      </c>
      <c r="O78" s="17">
        <v>0</v>
      </c>
      <c r="P78" s="17"/>
      <c r="Q78" s="17"/>
      <c r="R78" s="17"/>
      <c r="S78" s="58"/>
      <c r="T78" s="59"/>
      <c r="U78" s="5"/>
      <c r="V78" s="5"/>
      <c r="W78" s="5"/>
      <c r="X78" s="5"/>
      <c r="Y78" s="5"/>
      <c r="Z78" s="60"/>
      <c r="AA78" s="57"/>
      <c r="AB78" s="57"/>
      <c r="AC78" s="57"/>
      <c r="AD78" s="57"/>
      <c r="AE78" s="61"/>
    </row>
    <row r="79" spans="1:31" ht="18.75">
      <c r="A79" s="210" t="s">
        <v>77</v>
      </c>
      <c r="B79" s="214" t="s">
        <v>55</v>
      </c>
      <c r="C79" s="44" t="s">
        <v>94</v>
      </c>
      <c r="D79" s="217" t="s">
        <v>5</v>
      </c>
      <c r="E79" s="217" t="s">
        <v>5</v>
      </c>
      <c r="F79" s="192"/>
      <c r="G79" s="44" t="s">
        <v>76</v>
      </c>
      <c r="H79" s="46" t="s">
        <v>76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26"/>
      <c r="P79" s="26"/>
      <c r="Q79" s="26"/>
      <c r="R79" s="26"/>
      <c r="S79" s="78"/>
      <c r="T79" s="48">
        <f t="shared" si="0"/>
        <v>0</v>
      </c>
      <c r="U79" s="46">
        <v>0</v>
      </c>
      <c r="V79" s="46">
        <v>0</v>
      </c>
      <c r="W79" s="46">
        <f>451.7-451.7</f>
        <v>0</v>
      </c>
      <c r="X79" s="46">
        <v>0</v>
      </c>
      <c r="Y79" s="46">
        <v>0</v>
      </c>
      <c r="Z79" s="55">
        <v>0</v>
      </c>
      <c r="AA79" s="77"/>
      <c r="AB79" s="77"/>
      <c r="AC79" s="77"/>
      <c r="AD79" s="77"/>
      <c r="AE79" s="81"/>
    </row>
    <row r="80" spans="1:31" ht="93.75">
      <c r="A80" s="211"/>
      <c r="B80" s="215"/>
      <c r="C80" s="12" t="s">
        <v>111</v>
      </c>
      <c r="D80" s="202"/>
      <c r="E80" s="202"/>
      <c r="F80" s="193"/>
      <c r="G80" s="12"/>
      <c r="H80" s="13"/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6"/>
      <c r="P80" s="26"/>
      <c r="Q80" s="26"/>
      <c r="R80" s="26"/>
      <c r="S80" s="78"/>
      <c r="T80" s="79">
        <f t="shared" si="0"/>
        <v>52.3</v>
      </c>
      <c r="U80" s="13">
        <v>0</v>
      </c>
      <c r="V80" s="13">
        <v>0</v>
      </c>
      <c r="W80" s="13">
        <f>100-47.7</f>
        <v>52.3</v>
      </c>
      <c r="X80" s="13">
        <v>0</v>
      </c>
      <c r="Y80" s="13">
        <v>0</v>
      </c>
      <c r="Z80" s="80">
        <v>0</v>
      </c>
      <c r="AA80" s="77"/>
      <c r="AB80" s="77"/>
      <c r="AC80" s="77"/>
      <c r="AD80" s="77"/>
      <c r="AE80" s="81"/>
    </row>
    <row r="81" spans="1:31" ht="18.75">
      <c r="A81" s="211"/>
      <c r="B81" s="215"/>
      <c r="C81" s="14" t="s">
        <v>52</v>
      </c>
      <c r="D81" s="202"/>
      <c r="E81" s="202"/>
      <c r="F81" s="193"/>
      <c r="G81" s="195" t="s">
        <v>160</v>
      </c>
      <c r="H81" s="220">
        <f>SUM(I81:S83)</f>
        <v>60822.899999999994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318.2</v>
      </c>
      <c r="O81" s="26"/>
      <c r="P81" s="26"/>
      <c r="Q81" s="26"/>
      <c r="R81" s="26"/>
      <c r="S81" s="78"/>
      <c r="T81" s="79">
        <f t="shared" si="0"/>
        <v>318.2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80">
        <v>318.2</v>
      </c>
      <c r="AA81" s="77"/>
      <c r="AB81" s="77"/>
      <c r="AC81" s="77"/>
      <c r="AD81" s="77"/>
      <c r="AE81" s="81"/>
    </row>
    <row r="82" spans="1:31" ht="18.75">
      <c r="A82" s="211"/>
      <c r="B82" s="215"/>
      <c r="C82" s="12" t="s">
        <v>69</v>
      </c>
      <c r="D82" s="202"/>
      <c r="E82" s="202"/>
      <c r="F82" s="193"/>
      <c r="G82" s="196"/>
      <c r="H82" s="221"/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58.4</v>
      </c>
      <c r="O82" s="26"/>
      <c r="P82" s="26"/>
      <c r="Q82" s="26"/>
      <c r="R82" s="26"/>
      <c r="S82" s="78"/>
      <c r="T82" s="79">
        <f t="shared" si="0"/>
        <v>58.4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80">
        <v>58.4</v>
      </c>
      <c r="AA82" s="77"/>
      <c r="AB82" s="77"/>
      <c r="AC82" s="77"/>
      <c r="AD82" s="77"/>
      <c r="AE82" s="81"/>
    </row>
    <row r="83" spans="1:31" ht="37.5">
      <c r="A83" s="211"/>
      <c r="B83" s="215"/>
      <c r="C83" s="7" t="s">
        <v>8</v>
      </c>
      <c r="D83" s="202"/>
      <c r="E83" s="202"/>
      <c r="F83" s="193"/>
      <c r="G83" s="197"/>
      <c r="H83" s="206"/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29189.5</v>
      </c>
      <c r="O83" s="26">
        <v>31256.8</v>
      </c>
      <c r="P83" s="26"/>
      <c r="Q83" s="26"/>
      <c r="R83" s="26"/>
      <c r="S83" s="78"/>
      <c r="T83" s="79">
        <f>U83+V83+W83+X83+Y83+Z83</f>
        <v>29189.5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80">
        <v>29189.5</v>
      </c>
      <c r="AA83" s="77"/>
      <c r="AB83" s="77"/>
      <c r="AC83" s="77"/>
      <c r="AD83" s="77"/>
      <c r="AE83" s="81"/>
    </row>
    <row r="84" spans="1:31" ht="38.25" thickBot="1">
      <c r="A84" s="212"/>
      <c r="B84" s="216"/>
      <c r="C84" s="82" t="s">
        <v>68</v>
      </c>
      <c r="D84" s="218"/>
      <c r="E84" s="218"/>
      <c r="F84" s="194"/>
      <c r="G84" s="82" t="s">
        <v>76</v>
      </c>
      <c r="H84" s="19" t="s">
        <v>76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23"/>
      <c r="P84" s="23"/>
      <c r="Q84" s="23"/>
      <c r="R84" s="23"/>
      <c r="S84" s="52"/>
      <c r="T84" s="53">
        <f t="shared" si="0"/>
        <v>950</v>
      </c>
      <c r="U84" s="19">
        <v>0</v>
      </c>
      <c r="V84" s="19">
        <f>950-950</f>
        <v>0</v>
      </c>
      <c r="W84" s="19">
        <v>950</v>
      </c>
      <c r="X84" s="19">
        <v>0</v>
      </c>
      <c r="Y84" s="19">
        <v>0</v>
      </c>
      <c r="Z84" s="83">
        <v>0</v>
      </c>
      <c r="AA84" s="51"/>
      <c r="AB84" s="51"/>
      <c r="AC84" s="51"/>
      <c r="AD84" s="51"/>
      <c r="AE84" s="54"/>
    </row>
    <row r="85" spans="1:31" ht="57" customHeight="1">
      <c r="A85" s="183" t="s">
        <v>92</v>
      </c>
      <c r="B85" s="185" t="s">
        <v>96</v>
      </c>
      <c r="C85" s="44" t="s">
        <v>68</v>
      </c>
      <c r="D85" s="187" t="s">
        <v>5</v>
      </c>
      <c r="E85" s="187" t="s">
        <v>5</v>
      </c>
      <c r="F85" s="192">
        <f>148/1000</f>
        <v>0.148</v>
      </c>
      <c r="G85" s="44" t="s">
        <v>76</v>
      </c>
      <c r="H85" s="46">
        <f>SUM(I85:S85)</f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22"/>
      <c r="P85" s="22"/>
      <c r="Q85" s="22"/>
      <c r="R85" s="22"/>
      <c r="S85" s="47"/>
      <c r="T85" s="48">
        <f t="shared" si="0"/>
        <v>775</v>
      </c>
      <c r="U85" s="46">
        <v>0</v>
      </c>
      <c r="V85" s="46">
        <v>0</v>
      </c>
      <c r="W85" s="46">
        <v>775</v>
      </c>
      <c r="X85" s="46">
        <v>0</v>
      </c>
      <c r="Y85" s="46">
        <v>0</v>
      </c>
      <c r="Z85" s="55">
        <v>0</v>
      </c>
      <c r="AA85" s="43"/>
      <c r="AB85" s="43"/>
      <c r="AC85" s="43"/>
      <c r="AD85" s="43"/>
      <c r="AE85" s="49"/>
    </row>
    <row r="86" spans="1:31" ht="38.25" thickBot="1">
      <c r="A86" s="184"/>
      <c r="B86" s="186"/>
      <c r="C86" s="18" t="s">
        <v>8</v>
      </c>
      <c r="D86" s="188"/>
      <c r="E86" s="188"/>
      <c r="F86" s="194"/>
      <c r="G86" s="18" t="s">
        <v>160</v>
      </c>
      <c r="H86" s="5"/>
      <c r="I86" s="5"/>
      <c r="J86" s="5"/>
      <c r="K86" s="5"/>
      <c r="L86" s="5"/>
      <c r="M86" s="5"/>
      <c r="N86" s="5"/>
      <c r="O86" s="17">
        <v>42226.9</v>
      </c>
      <c r="P86" s="17"/>
      <c r="Q86" s="17"/>
      <c r="R86" s="17"/>
      <c r="S86" s="58"/>
      <c r="T86" s="59"/>
      <c r="U86" s="5"/>
      <c r="V86" s="5"/>
      <c r="W86" s="5"/>
      <c r="X86" s="5"/>
      <c r="Y86" s="5"/>
      <c r="Z86" s="60"/>
      <c r="AA86" s="57"/>
      <c r="AB86" s="57"/>
      <c r="AC86" s="57"/>
      <c r="AD86" s="57"/>
      <c r="AE86" s="61"/>
    </row>
    <row r="87" spans="1:31" ht="45.75" customHeight="1">
      <c r="A87" s="183" t="s">
        <v>93</v>
      </c>
      <c r="B87" s="185" t="s">
        <v>97</v>
      </c>
      <c r="C87" s="44" t="s">
        <v>68</v>
      </c>
      <c r="D87" s="187" t="s">
        <v>5</v>
      </c>
      <c r="E87" s="187" t="s">
        <v>5</v>
      </c>
      <c r="F87" s="192">
        <f>4094/1000</f>
        <v>4.094</v>
      </c>
      <c r="G87" s="45" t="s">
        <v>75</v>
      </c>
      <c r="H87" s="46">
        <f>SUM(I87:S87)</f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22"/>
      <c r="P87" s="22"/>
      <c r="Q87" s="22"/>
      <c r="R87" s="22"/>
      <c r="S87" s="47"/>
      <c r="T87" s="48">
        <f t="shared" si="0"/>
        <v>1648.5</v>
      </c>
      <c r="U87" s="46">
        <v>0</v>
      </c>
      <c r="V87" s="46">
        <f>1000-137.1-77.9-785</f>
        <v>0</v>
      </c>
      <c r="W87" s="46">
        <v>785</v>
      </c>
      <c r="X87" s="46">
        <f>785+78.5</f>
        <v>863.5</v>
      </c>
      <c r="Y87" s="46">
        <v>0</v>
      </c>
      <c r="Z87" s="55">
        <v>0</v>
      </c>
      <c r="AA87" s="43"/>
      <c r="AB87" s="43"/>
      <c r="AC87" s="43"/>
      <c r="AD87" s="43"/>
      <c r="AE87" s="49"/>
    </row>
    <row r="88" spans="1:31" ht="38.25" thickBot="1">
      <c r="A88" s="184"/>
      <c r="B88" s="186"/>
      <c r="C88" s="18" t="s">
        <v>8</v>
      </c>
      <c r="D88" s="188"/>
      <c r="E88" s="188"/>
      <c r="F88" s="194"/>
      <c r="G88" s="18" t="s">
        <v>136</v>
      </c>
      <c r="H88" s="5">
        <f>SUM(I88:S88)</f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17"/>
      <c r="P88" s="17"/>
      <c r="Q88" s="17"/>
      <c r="R88" s="17"/>
      <c r="S88" s="58"/>
      <c r="T88" s="59"/>
      <c r="U88" s="5"/>
      <c r="V88" s="5"/>
      <c r="W88" s="5"/>
      <c r="X88" s="5"/>
      <c r="Y88" s="5"/>
      <c r="Z88" s="60"/>
      <c r="AA88" s="57"/>
      <c r="AB88" s="57"/>
      <c r="AC88" s="57"/>
      <c r="AD88" s="57"/>
      <c r="AE88" s="61"/>
    </row>
    <row r="89" spans="1:31" ht="79.5" customHeight="1" thickBot="1">
      <c r="A89" s="56" t="s">
        <v>95</v>
      </c>
      <c r="B89" s="101" t="s">
        <v>98</v>
      </c>
      <c r="C89" s="18" t="s">
        <v>8</v>
      </c>
      <c r="D89" s="16" t="s">
        <v>5</v>
      </c>
      <c r="E89" s="16" t="s">
        <v>5</v>
      </c>
      <c r="F89" s="17">
        <f>615/1000</f>
        <v>0.615</v>
      </c>
      <c r="G89" s="18" t="s">
        <v>99</v>
      </c>
      <c r="H89" s="5">
        <f>I89+J89+K89+L89+M89+N89+O89+P89+Q89+R89+S89</f>
        <v>7924.199999999998</v>
      </c>
      <c r="I89" s="5">
        <v>0</v>
      </c>
      <c r="J89" s="5">
        <f>7900.6-1940.6-5960</f>
        <v>0</v>
      </c>
      <c r="K89" s="5">
        <f>9027-351.1-250.7-142.2-21.2-495.7</f>
        <v>7766.099999999998</v>
      </c>
      <c r="L89" s="5">
        <v>158.1</v>
      </c>
      <c r="M89" s="5">
        <v>0</v>
      </c>
      <c r="N89" s="5">
        <v>0</v>
      </c>
      <c r="O89" s="17"/>
      <c r="P89" s="17"/>
      <c r="Q89" s="17"/>
      <c r="R89" s="17"/>
      <c r="S89" s="58"/>
      <c r="T89" s="59">
        <f t="shared" si="0"/>
        <v>7924.199999999998</v>
      </c>
      <c r="U89" s="5">
        <v>0</v>
      </c>
      <c r="V89" s="5">
        <f>7900.6-1940.6-5960</f>
        <v>0</v>
      </c>
      <c r="W89" s="5">
        <f>9027-351.1-250.7-142.2-21.2-495.7</f>
        <v>7766.099999999998</v>
      </c>
      <c r="X89" s="5">
        <v>158.1</v>
      </c>
      <c r="Y89" s="5">
        <v>0</v>
      </c>
      <c r="Z89" s="60">
        <v>0</v>
      </c>
      <c r="AA89" s="57"/>
      <c r="AB89" s="57"/>
      <c r="AC89" s="57"/>
      <c r="AD89" s="57"/>
      <c r="AE89" s="61"/>
    </row>
    <row r="90" spans="1:31" ht="79.5" customHeight="1" thickBot="1">
      <c r="A90" s="84" t="s">
        <v>103</v>
      </c>
      <c r="B90" s="102" t="s">
        <v>295</v>
      </c>
      <c r="C90" s="10" t="s">
        <v>68</v>
      </c>
      <c r="D90" s="8" t="s">
        <v>5</v>
      </c>
      <c r="E90" s="8" t="s">
        <v>5</v>
      </c>
      <c r="F90" s="9">
        <f>1800/1000</f>
        <v>1.8</v>
      </c>
      <c r="G90" s="10" t="s">
        <v>76</v>
      </c>
      <c r="H90" s="4">
        <f>SUM(I90:S90)</f>
        <v>1200</v>
      </c>
      <c r="I90" s="4"/>
      <c r="J90" s="4"/>
      <c r="K90" s="4"/>
      <c r="L90" s="4"/>
      <c r="M90" s="4"/>
      <c r="N90" s="4"/>
      <c r="O90" s="9"/>
      <c r="P90" s="4"/>
      <c r="Q90" s="4">
        <v>1200</v>
      </c>
      <c r="R90" s="9"/>
      <c r="S90" s="103"/>
      <c r="T90" s="104"/>
      <c r="U90" s="4"/>
      <c r="V90" s="4"/>
      <c r="W90" s="4"/>
      <c r="X90" s="4"/>
      <c r="Y90" s="4"/>
      <c r="Z90" s="105"/>
      <c r="AA90" s="85"/>
      <c r="AB90" s="85"/>
      <c r="AC90" s="85"/>
      <c r="AD90" s="85"/>
      <c r="AE90" s="106"/>
    </row>
    <row r="91" spans="1:31" ht="81.75" customHeight="1" thickBot="1">
      <c r="A91" s="62" t="s">
        <v>104</v>
      </c>
      <c r="B91" s="63" t="s">
        <v>56</v>
      </c>
      <c r="C91" s="88" t="s">
        <v>68</v>
      </c>
      <c r="D91" s="64" t="s">
        <v>5</v>
      </c>
      <c r="E91" s="64" t="s">
        <v>5</v>
      </c>
      <c r="F91" s="64">
        <f>725.25/1000</f>
        <v>0.72525</v>
      </c>
      <c r="G91" s="88" t="s">
        <v>76</v>
      </c>
      <c r="H91" s="65">
        <f>SUM(I91:S91)</f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24"/>
      <c r="P91" s="24"/>
      <c r="Q91" s="24"/>
      <c r="R91" s="24"/>
      <c r="S91" s="66"/>
      <c r="T91" s="67">
        <f t="shared" si="0"/>
        <v>2800</v>
      </c>
      <c r="U91" s="65">
        <v>0</v>
      </c>
      <c r="V91" s="65">
        <v>2800</v>
      </c>
      <c r="W91" s="65">
        <v>0</v>
      </c>
      <c r="X91" s="65">
        <v>0</v>
      </c>
      <c r="Y91" s="65">
        <v>0</v>
      </c>
      <c r="Z91" s="68">
        <v>0</v>
      </c>
      <c r="AA91" s="63"/>
      <c r="AB91" s="63"/>
      <c r="AC91" s="63"/>
      <c r="AD91" s="63"/>
      <c r="AE91" s="69"/>
    </row>
    <row r="92" spans="1:31" ht="70.5" customHeight="1" thickBot="1">
      <c r="A92" s="56" t="s">
        <v>115</v>
      </c>
      <c r="B92" s="57" t="s">
        <v>57</v>
      </c>
      <c r="C92" s="18" t="s">
        <v>43</v>
      </c>
      <c r="D92" s="16" t="s">
        <v>58</v>
      </c>
      <c r="E92" s="16" t="s">
        <v>58</v>
      </c>
      <c r="F92" s="17" t="s">
        <v>17</v>
      </c>
      <c r="G92" s="18" t="s">
        <v>76</v>
      </c>
      <c r="H92" s="5">
        <f>SUM(I92:S92)</f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7"/>
      <c r="P92" s="17"/>
      <c r="Q92" s="17"/>
      <c r="R92" s="17"/>
      <c r="S92" s="58"/>
      <c r="T92" s="59">
        <f t="shared" si="0"/>
        <v>2600</v>
      </c>
      <c r="U92" s="5">
        <v>0</v>
      </c>
      <c r="V92" s="5">
        <v>2600</v>
      </c>
      <c r="W92" s="5">
        <v>0</v>
      </c>
      <c r="X92" s="5">
        <v>0</v>
      </c>
      <c r="Y92" s="5">
        <v>0</v>
      </c>
      <c r="Z92" s="60">
        <v>0</v>
      </c>
      <c r="AA92" s="57"/>
      <c r="AB92" s="57"/>
      <c r="AC92" s="57"/>
      <c r="AD92" s="57"/>
      <c r="AE92" s="61"/>
    </row>
    <row r="93" spans="1:31" ht="150" customHeight="1" thickBot="1">
      <c r="A93" s="56" t="s">
        <v>118</v>
      </c>
      <c r="B93" s="57" t="s">
        <v>78</v>
      </c>
      <c r="C93" s="18" t="s">
        <v>79</v>
      </c>
      <c r="D93" s="16" t="s">
        <v>5</v>
      </c>
      <c r="E93" s="16" t="s">
        <v>5</v>
      </c>
      <c r="F93" s="17" t="s">
        <v>76</v>
      </c>
      <c r="G93" s="18" t="s">
        <v>76</v>
      </c>
      <c r="H93" s="5">
        <f>SUM(I93:S93)</f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7"/>
      <c r="P93" s="17"/>
      <c r="Q93" s="17"/>
      <c r="R93" s="17"/>
      <c r="S93" s="58"/>
      <c r="T93" s="59">
        <f>U93+V93+W93+X93+Y93+Z93</f>
        <v>98</v>
      </c>
      <c r="U93" s="5">
        <v>0</v>
      </c>
      <c r="V93" s="5">
        <v>98</v>
      </c>
      <c r="W93" s="5">
        <v>0</v>
      </c>
      <c r="X93" s="5">
        <v>0</v>
      </c>
      <c r="Y93" s="5">
        <v>0</v>
      </c>
      <c r="Z93" s="60">
        <v>0</v>
      </c>
      <c r="AA93" s="57"/>
      <c r="AB93" s="57"/>
      <c r="AC93" s="57"/>
      <c r="AD93" s="57"/>
      <c r="AE93" s="61"/>
    </row>
    <row r="94" spans="1:31" ht="150" customHeight="1" thickBot="1">
      <c r="A94" s="56" t="s">
        <v>120</v>
      </c>
      <c r="B94" s="57" t="s">
        <v>306</v>
      </c>
      <c r="C94" s="10" t="s">
        <v>68</v>
      </c>
      <c r="D94" s="16" t="s">
        <v>5</v>
      </c>
      <c r="E94" s="16" t="s">
        <v>5</v>
      </c>
      <c r="F94" s="17" t="s">
        <v>76</v>
      </c>
      <c r="G94" s="18" t="s">
        <v>76</v>
      </c>
      <c r="H94" s="5">
        <f>SUM(I94:S94)</f>
        <v>1700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17">
        <v>0</v>
      </c>
      <c r="P94" s="17"/>
      <c r="Q94" s="17">
        <v>1700</v>
      </c>
      <c r="R94" s="17"/>
      <c r="S94" s="58"/>
      <c r="T94" s="59"/>
      <c r="U94" s="5"/>
      <c r="V94" s="5"/>
      <c r="W94" s="5"/>
      <c r="X94" s="5"/>
      <c r="Y94" s="5"/>
      <c r="Z94" s="60"/>
      <c r="AA94" s="57"/>
      <c r="AB94" s="57"/>
      <c r="AC94" s="57"/>
      <c r="AD94" s="57"/>
      <c r="AE94" s="61"/>
    </row>
    <row r="95" spans="1:31" ht="18.75">
      <c r="A95" s="243" t="s">
        <v>137</v>
      </c>
      <c r="B95" s="242" t="s">
        <v>82</v>
      </c>
      <c r="C95" s="44" t="s">
        <v>81</v>
      </c>
      <c r="D95" s="244" t="s">
        <v>5</v>
      </c>
      <c r="E95" s="244" t="s">
        <v>5</v>
      </c>
      <c r="F95" s="208" t="s">
        <v>76</v>
      </c>
      <c r="G95" s="197" t="s">
        <v>76</v>
      </c>
      <c r="H95" s="206">
        <f>SUM(I95:S97)</f>
        <v>521.3</v>
      </c>
      <c r="I95" s="11">
        <v>0</v>
      </c>
      <c r="J95" s="11">
        <v>521.3</v>
      </c>
      <c r="K95" s="11">
        <v>0</v>
      </c>
      <c r="L95" s="11">
        <v>0</v>
      </c>
      <c r="M95" s="11">
        <v>0</v>
      </c>
      <c r="N95" s="11">
        <v>0</v>
      </c>
      <c r="O95" s="25"/>
      <c r="P95" s="25"/>
      <c r="Q95" s="25"/>
      <c r="R95" s="25"/>
      <c r="S95" s="72"/>
      <c r="T95" s="73">
        <f aca="true" t="shared" si="2" ref="T95:T105">U95+V95+W95+X95+Y95+Z95</f>
        <v>521.3</v>
      </c>
      <c r="U95" s="11">
        <v>0</v>
      </c>
      <c r="V95" s="11">
        <f>2500-1978.7</f>
        <v>521.3</v>
      </c>
      <c r="W95" s="11">
        <v>0</v>
      </c>
      <c r="X95" s="11">
        <v>0</v>
      </c>
      <c r="Y95" s="11">
        <v>0</v>
      </c>
      <c r="Z95" s="74">
        <v>0</v>
      </c>
      <c r="AA95" s="70"/>
      <c r="AB95" s="70"/>
      <c r="AC95" s="70"/>
      <c r="AD95" s="70"/>
      <c r="AE95" s="75"/>
    </row>
    <row r="96" spans="1:31" ht="37.5">
      <c r="A96" s="211"/>
      <c r="B96" s="215"/>
      <c r="C96" s="12" t="s">
        <v>101</v>
      </c>
      <c r="D96" s="202"/>
      <c r="E96" s="202"/>
      <c r="F96" s="203"/>
      <c r="G96" s="189"/>
      <c r="H96" s="191"/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6"/>
      <c r="P96" s="26"/>
      <c r="Q96" s="26"/>
      <c r="R96" s="26"/>
      <c r="S96" s="78"/>
      <c r="T96" s="79">
        <f t="shared" si="2"/>
        <v>85</v>
      </c>
      <c r="U96" s="13">
        <v>0</v>
      </c>
      <c r="V96" s="13">
        <v>0</v>
      </c>
      <c r="W96" s="13">
        <v>85</v>
      </c>
      <c r="X96" s="13">
        <v>0</v>
      </c>
      <c r="Y96" s="13">
        <v>0</v>
      </c>
      <c r="Z96" s="80">
        <v>0</v>
      </c>
      <c r="AA96" s="77"/>
      <c r="AB96" s="77"/>
      <c r="AC96" s="77"/>
      <c r="AD96" s="77"/>
      <c r="AE96" s="81"/>
    </row>
    <row r="97" spans="1:31" ht="38.25" thickBot="1">
      <c r="A97" s="212"/>
      <c r="B97" s="216"/>
      <c r="C97" s="82" t="s">
        <v>113</v>
      </c>
      <c r="D97" s="218"/>
      <c r="E97" s="218"/>
      <c r="F97" s="209"/>
      <c r="G97" s="219"/>
      <c r="H97" s="207"/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23"/>
      <c r="P97" s="23"/>
      <c r="Q97" s="23"/>
      <c r="R97" s="23"/>
      <c r="S97" s="52"/>
      <c r="T97" s="53">
        <f t="shared" si="2"/>
        <v>30</v>
      </c>
      <c r="U97" s="19">
        <v>0</v>
      </c>
      <c r="V97" s="19">
        <v>0</v>
      </c>
      <c r="W97" s="19">
        <v>30</v>
      </c>
      <c r="X97" s="19">
        <v>0</v>
      </c>
      <c r="Y97" s="19">
        <v>0</v>
      </c>
      <c r="Z97" s="83">
        <v>0</v>
      </c>
      <c r="AA97" s="51"/>
      <c r="AB97" s="51"/>
      <c r="AC97" s="51"/>
      <c r="AD97" s="51"/>
      <c r="AE97" s="54"/>
    </row>
    <row r="98" spans="1:31" ht="18.75">
      <c r="A98" s="243" t="s">
        <v>138</v>
      </c>
      <c r="B98" s="242" t="s">
        <v>84</v>
      </c>
      <c r="C98" s="7" t="s">
        <v>86</v>
      </c>
      <c r="D98" s="244" t="s">
        <v>87</v>
      </c>
      <c r="E98" s="244" t="s">
        <v>87</v>
      </c>
      <c r="F98" s="208" t="s">
        <v>76</v>
      </c>
      <c r="G98" s="197" t="s">
        <v>76</v>
      </c>
      <c r="H98" s="206">
        <f>SUM(I98:S99)</f>
        <v>35010</v>
      </c>
      <c r="I98" s="11">
        <v>0</v>
      </c>
      <c r="J98" s="11">
        <v>35000</v>
      </c>
      <c r="K98" s="11">
        <v>0</v>
      </c>
      <c r="L98" s="11">
        <v>0</v>
      </c>
      <c r="M98" s="11">
        <v>0</v>
      </c>
      <c r="N98" s="11">
        <v>0</v>
      </c>
      <c r="O98" s="25"/>
      <c r="P98" s="25"/>
      <c r="Q98" s="25"/>
      <c r="R98" s="25"/>
      <c r="S98" s="72"/>
      <c r="T98" s="73">
        <f t="shared" si="2"/>
        <v>35000</v>
      </c>
      <c r="U98" s="11">
        <v>0</v>
      </c>
      <c r="V98" s="11">
        <v>35000</v>
      </c>
      <c r="W98" s="11">
        <v>0</v>
      </c>
      <c r="X98" s="11">
        <v>0</v>
      </c>
      <c r="Y98" s="11">
        <v>0</v>
      </c>
      <c r="Z98" s="74">
        <v>0</v>
      </c>
      <c r="AA98" s="70"/>
      <c r="AB98" s="70"/>
      <c r="AC98" s="70"/>
      <c r="AD98" s="70"/>
      <c r="AE98" s="75"/>
    </row>
    <row r="99" spans="1:31" ht="111.75" customHeight="1" thickBot="1">
      <c r="A99" s="212"/>
      <c r="B99" s="216"/>
      <c r="C99" s="82" t="s">
        <v>90</v>
      </c>
      <c r="D99" s="218"/>
      <c r="E99" s="218"/>
      <c r="F99" s="209"/>
      <c r="G99" s="219"/>
      <c r="H99" s="207"/>
      <c r="I99" s="19">
        <v>0</v>
      </c>
      <c r="J99" s="19">
        <v>10</v>
      </c>
      <c r="K99" s="19">
        <v>0</v>
      </c>
      <c r="L99" s="19">
        <v>0</v>
      </c>
      <c r="M99" s="19">
        <v>0</v>
      </c>
      <c r="N99" s="19">
        <v>0</v>
      </c>
      <c r="O99" s="23"/>
      <c r="P99" s="23"/>
      <c r="Q99" s="23"/>
      <c r="R99" s="23"/>
      <c r="S99" s="52"/>
      <c r="T99" s="53">
        <f t="shared" si="2"/>
        <v>10</v>
      </c>
      <c r="U99" s="19">
        <v>0</v>
      </c>
      <c r="V99" s="19">
        <v>10</v>
      </c>
      <c r="W99" s="19">
        <v>0</v>
      </c>
      <c r="X99" s="19">
        <v>0</v>
      </c>
      <c r="Y99" s="19">
        <v>0</v>
      </c>
      <c r="Z99" s="83">
        <v>0</v>
      </c>
      <c r="AA99" s="51"/>
      <c r="AB99" s="51"/>
      <c r="AC99" s="51"/>
      <c r="AD99" s="51"/>
      <c r="AE99" s="54"/>
    </row>
    <row r="100" spans="1:31" ht="18.75">
      <c r="A100" s="243" t="s">
        <v>329</v>
      </c>
      <c r="B100" s="242" t="s">
        <v>85</v>
      </c>
      <c r="C100" s="7" t="s">
        <v>86</v>
      </c>
      <c r="D100" s="244" t="s">
        <v>87</v>
      </c>
      <c r="E100" s="244" t="s">
        <v>87</v>
      </c>
      <c r="F100" s="208" t="s">
        <v>76</v>
      </c>
      <c r="G100" s="197" t="s">
        <v>76</v>
      </c>
      <c r="H100" s="206">
        <f>SUM(I100:S101)</f>
        <v>73285.20999999999</v>
      </c>
      <c r="I100" s="11">
        <v>0</v>
      </c>
      <c r="J100" s="11">
        <v>36300</v>
      </c>
      <c r="K100" s="11">
        <v>36975.21</v>
      </c>
      <c r="L100" s="11">
        <v>0</v>
      </c>
      <c r="M100" s="11">
        <v>0</v>
      </c>
      <c r="N100" s="11">
        <v>0</v>
      </c>
      <c r="O100" s="25"/>
      <c r="P100" s="25"/>
      <c r="Q100" s="25"/>
      <c r="R100" s="25"/>
      <c r="S100" s="72"/>
      <c r="T100" s="73">
        <f t="shared" si="2"/>
        <v>73275.2</v>
      </c>
      <c r="U100" s="11">
        <v>0</v>
      </c>
      <c r="V100" s="11">
        <v>36300</v>
      </c>
      <c r="W100" s="11">
        <v>36975.2</v>
      </c>
      <c r="X100" s="11">
        <v>0</v>
      </c>
      <c r="Y100" s="11">
        <v>0</v>
      </c>
      <c r="Z100" s="74">
        <v>0</v>
      </c>
      <c r="AA100" s="70"/>
      <c r="AB100" s="70"/>
      <c r="AC100" s="70"/>
      <c r="AD100" s="70"/>
      <c r="AE100" s="75"/>
    </row>
    <row r="101" spans="1:31" ht="81" customHeight="1" thickBot="1">
      <c r="A101" s="212"/>
      <c r="B101" s="216"/>
      <c r="C101" s="82" t="s">
        <v>90</v>
      </c>
      <c r="D101" s="218"/>
      <c r="E101" s="218"/>
      <c r="F101" s="209"/>
      <c r="G101" s="219"/>
      <c r="H101" s="207"/>
      <c r="I101" s="19">
        <v>0</v>
      </c>
      <c r="J101" s="19">
        <v>10</v>
      </c>
      <c r="K101" s="19">
        <v>0</v>
      </c>
      <c r="L101" s="19">
        <v>0</v>
      </c>
      <c r="M101" s="19">
        <v>0</v>
      </c>
      <c r="N101" s="19">
        <v>0</v>
      </c>
      <c r="O101" s="23"/>
      <c r="P101" s="23"/>
      <c r="Q101" s="23"/>
      <c r="R101" s="23"/>
      <c r="S101" s="52"/>
      <c r="T101" s="53">
        <f t="shared" si="2"/>
        <v>10</v>
      </c>
      <c r="U101" s="19">
        <v>0</v>
      </c>
      <c r="V101" s="19">
        <v>10</v>
      </c>
      <c r="W101" s="19">
        <v>0</v>
      </c>
      <c r="X101" s="19">
        <v>0</v>
      </c>
      <c r="Y101" s="19">
        <v>0</v>
      </c>
      <c r="Z101" s="83">
        <v>0</v>
      </c>
      <c r="AA101" s="51"/>
      <c r="AB101" s="51"/>
      <c r="AC101" s="51"/>
      <c r="AD101" s="51"/>
      <c r="AE101" s="54"/>
    </row>
    <row r="102" spans="1:31" ht="81" customHeight="1" thickBot="1">
      <c r="A102" s="62" t="s">
        <v>330</v>
      </c>
      <c r="B102" s="63" t="s">
        <v>314</v>
      </c>
      <c r="C102" s="88" t="s">
        <v>68</v>
      </c>
      <c r="D102" s="64" t="s">
        <v>5</v>
      </c>
      <c r="E102" s="64" t="s">
        <v>5</v>
      </c>
      <c r="F102" s="24">
        <f>860/1000</f>
        <v>0.86</v>
      </c>
      <c r="G102" s="88" t="s">
        <v>76</v>
      </c>
      <c r="H102" s="65">
        <f>SUM(I102:S102)</f>
        <v>194.3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24">
        <v>0</v>
      </c>
      <c r="P102" s="24"/>
      <c r="Q102" s="24">
        <v>194.3</v>
      </c>
      <c r="R102" s="24"/>
      <c r="S102" s="66"/>
      <c r="T102" s="67"/>
      <c r="U102" s="65"/>
      <c r="V102" s="65"/>
      <c r="W102" s="65"/>
      <c r="X102" s="65"/>
      <c r="Y102" s="65"/>
      <c r="Z102" s="68"/>
      <c r="AA102" s="63"/>
      <c r="AB102" s="63"/>
      <c r="AC102" s="63"/>
      <c r="AD102" s="63"/>
      <c r="AE102" s="69"/>
    </row>
    <row r="103" spans="1:31" ht="188.25" thickBot="1">
      <c r="A103" s="56" t="s">
        <v>331</v>
      </c>
      <c r="B103" s="57" t="s">
        <v>116</v>
      </c>
      <c r="C103" s="18" t="s">
        <v>117</v>
      </c>
      <c r="D103" s="16" t="s">
        <v>5</v>
      </c>
      <c r="E103" s="16" t="s">
        <v>5</v>
      </c>
      <c r="F103" s="17" t="s">
        <v>76</v>
      </c>
      <c r="G103" s="18" t="s">
        <v>76</v>
      </c>
      <c r="H103" s="5">
        <f>SUM(I103:S103)</f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7"/>
      <c r="P103" s="17"/>
      <c r="Q103" s="17"/>
      <c r="R103" s="17"/>
      <c r="S103" s="58"/>
      <c r="T103" s="59">
        <f t="shared" si="2"/>
        <v>78</v>
      </c>
      <c r="U103" s="5">
        <v>0</v>
      </c>
      <c r="V103" s="5">
        <v>0</v>
      </c>
      <c r="W103" s="5">
        <v>78</v>
      </c>
      <c r="X103" s="5">
        <v>0</v>
      </c>
      <c r="Y103" s="5">
        <v>0</v>
      </c>
      <c r="Z103" s="60">
        <v>0</v>
      </c>
      <c r="AA103" s="57"/>
      <c r="AB103" s="57"/>
      <c r="AC103" s="57"/>
      <c r="AD103" s="57"/>
      <c r="AE103" s="61"/>
    </row>
    <row r="104" spans="1:31" s="6" customFormat="1" ht="90.75" customHeight="1">
      <c r="A104" s="230" t="s">
        <v>332</v>
      </c>
      <c r="B104" s="246" t="s">
        <v>132</v>
      </c>
      <c r="C104" s="125" t="s">
        <v>127</v>
      </c>
      <c r="D104" s="125" t="s">
        <v>5</v>
      </c>
      <c r="E104" s="125" t="s">
        <v>5</v>
      </c>
      <c r="F104" s="149" t="s">
        <v>76</v>
      </c>
      <c r="G104" s="152" t="s">
        <v>76</v>
      </c>
      <c r="H104" s="222">
        <f>SUM(I104:S105)</f>
        <v>102582.70000000001</v>
      </c>
      <c r="I104" s="126">
        <v>0</v>
      </c>
      <c r="J104" s="126">
        <v>0</v>
      </c>
      <c r="K104" s="126">
        <v>0</v>
      </c>
      <c r="L104" s="126">
        <f>225.1-73.4</f>
        <v>151.7</v>
      </c>
      <c r="M104" s="156">
        <v>73.4</v>
      </c>
      <c r="N104" s="126">
        <v>0</v>
      </c>
      <c r="O104" s="128"/>
      <c r="P104" s="128"/>
      <c r="Q104" s="128"/>
      <c r="R104" s="128"/>
      <c r="S104" s="129"/>
      <c r="T104" s="130">
        <f t="shared" si="2"/>
        <v>225.1</v>
      </c>
      <c r="U104" s="126">
        <v>0</v>
      </c>
      <c r="V104" s="126">
        <v>0</v>
      </c>
      <c r="W104" s="126">
        <v>0</v>
      </c>
      <c r="X104" s="126">
        <f>225.1-73.4</f>
        <v>151.7</v>
      </c>
      <c r="Y104" s="156">
        <v>73.4</v>
      </c>
      <c r="Z104" s="127">
        <v>0</v>
      </c>
      <c r="AA104" s="131"/>
      <c r="AB104" s="131"/>
      <c r="AC104" s="131"/>
      <c r="AD104" s="131"/>
      <c r="AE104" s="132"/>
    </row>
    <row r="105" spans="1:31" s="6" customFormat="1" ht="70.5" customHeight="1" thickBot="1">
      <c r="A105" s="231"/>
      <c r="B105" s="247"/>
      <c r="C105" s="157" t="s">
        <v>8</v>
      </c>
      <c r="D105" s="140" t="s">
        <v>5</v>
      </c>
      <c r="E105" s="140" t="s">
        <v>5</v>
      </c>
      <c r="F105" s="141" t="s">
        <v>76</v>
      </c>
      <c r="G105" s="157" t="s">
        <v>124</v>
      </c>
      <c r="H105" s="223"/>
      <c r="I105" s="142">
        <v>0</v>
      </c>
      <c r="J105" s="142">
        <v>0</v>
      </c>
      <c r="K105" s="142">
        <v>0</v>
      </c>
      <c r="L105" s="142">
        <f>97765.5-16999.4</f>
        <v>80766.1</v>
      </c>
      <c r="M105" s="285">
        <f>33026.8-11412.5-22.8</f>
        <v>21591.500000000004</v>
      </c>
      <c r="N105" s="142">
        <v>0</v>
      </c>
      <c r="O105" s="143"/>
      <c r="P105" s="143"/>
      <c r="Q105" s="143"/>
      <c r="R105" s="143"/>
      <c r="S105" s="144"/>
      <c r="T105" s="145">
        <f t="shared" si="2"/>
        <v>102357.6</v>
      </c>
      <c r="U105" s="142">
        <v>0</v>
      </c>
      <c r="V105" s="142">
        <v>0</v>
      </c>
      <c r="W105" s="142">
        <v>0</v>
      </c>
      <c r="X105" s="142">
        <f>97765.5-16999.4</f>
        <v>80766.1</v>
      </c>
      <c r="Y105" s="285">
        <f>33026.8-11412.5-22.8</f>
        <v>21591.500000000004</v>
      </c>
      <c r="Z105" s="146">
        <v>0</v>
      </c>
      <c r="AA105" s="147"/>
      <c r="AB105" s="147"/>
      <c r="AC105" s="147"/>
      <c r="AD105" s="147"/>
      <c r="AE105" s="148"/>
    </row>
    <row r="106" spans="1:31" ht="117" customHeight="1" thickBot="1">
      <c r="A106" s="56" t="s">
        <v>333</v>
      </c>
      <c r="B106" s="101" t="s">
        <v>139</v>
      </c>
      <c r="C106" s="18" t="s">
        <v>68</v>
      </c>
      <c r="D106" s="16" t="s">
        <v>5</v>
      </c>
      <c r="E106" s="16" t="s">
        <v>5</v>
      </c>
      <c r="F106" s="17">
        <f>4900/1000</f>
        <v>4.9</v>
      </c>
      <c r="G106" s="18" t="s">
        <v>76</v>
      </c>
      <c r="H106" s="5">
        <f>SUM(I106:S106)</f>
        <v>30195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7">
        <v>30195</v>
      </c>
      <c r="P106" s="17">
        <v>0</v>
      </c>
      <c r="Q106" s="17"/>
      <c r="R106" s="17"/>
      <c r="S106" s="58"/>
      <c r="T106" s="59">
        <f>U106+V106+W106+X106+Y106+Z106</f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60">
        <v>0</v>
      </c>
      <c r="AA106" s="57"/>
      <c r="AB106" s="57"/>
      <c r="AC106" s="57"/>
      <c r="AD106" s="57"/>
      <c r="AE106" s="61"/>
    </row>
    <row r="107" spans="1:31" s="133" customFormat="1" ht="73.5" customHeight="1">
      <c r="A107" s="280" t="s">
        <v>334</v>
      </c>
      <c r="B107" s="278" t="s">
        <v>348</v>
      </c>
      <c r="C107" s="158" t="s">
        <v>140</v>
      </c>
      <c r="D107" s="172" t="s">
        <v>5</v>
      </c>
      <c r="E107" s="172" t="s">
        <v>5</v>
      </c>
      <c r="F107" s="159" t="s">
        <v>76</v>
      </c>
      <c r="G107" s="160" t="s">
        <v>134</v>
      </c>
      <c r="H107" s="170" t="s">
        <v>76</v>
      </c>
      <c r="I107" s="170">
        <v>0</v>
      </c>
      <c r="J107" s="170">
        <v>0</v>
      </c>
      <c r="K107" s="170">
        <v>0</v>
      </c>
      <c r="L107" s="170">
        <v>0</v>
      </c>
      <c r="M107" s="170"/>
      <c r="N107" s="170">
        <v>0</v>
      </c>
      <c r="O107" s="171"/>
      <c r="P107" s="161"/>
      <c r="Q107" s="161"/>
      <c r="R107" s="161"/>
      <c r="S107" s="162"/>
      <c r="T107" s="163">
        <f>SUM(U107:AE107)</f>
        <v>0</v>
      </c>
      <c r="U107" s="156">
        <v>0</v>
      </c>
      <c r="V107" s="156">
        <v>0</v>
      </c>
      <c r="W107" s="156">
        <v>0</v>
      </c>
      <c r="X107" s="156">
        <v>0</v>
      </c>
      <c r="Y107" s="156"/>
      <c r="Z107" s="164">
        <v>0</v>
      </c>
      <c r="AA107" s="165"/>
      <c r="AB107" s="165"/>
      <c r="AC107" s="165"/>
      <c r="AD107" s="165"/>
      <c r="AE107" s="166"/>
    </row>
    <row r="108" spans="1:31" s="169" customFormat="1" ht="45" customHeight="1" thickBot="1">
      <c r="A108" s="231"/>
      <c r="B108" s="279"/>
      <c r="C108" s="167" t="s">
        <v>68</v>
      </c>
      <c r="D108" s="173"/>
      <c r="E108" s="173"/>
      <c r="F108" s="141" t="s">
        <v>76</v>
      </c>
      <c r="G108" s="157" t="s">
        <v>136</v>
      </c>
      <c r="H108" s="142" t="s">
        <v>76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9610.4</v>
      </c>
      <c r="O108" s="141">
        <v>0</v>
      </c>
      <c r="P108" s="141">
        <v>0</v>
      </c>
      <c r="Q108" s="141">
        <v>0</v>
      </c>
      <c r="R108" s="141">
        <v>0</v>
      </c>
      <c r="S108" s="168">
        <v>0</v>
      </c>
      <c r="T108" s="130">
        <f>SUM(U108:AE108)</f>
        <v>9610.4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  <c r="Z108" s="142">
        <v>9610.4</v>
      </c>
      <c r="AA108" s="146">
        <v>0</v>
      </c>
      <c r="AB108" s="146">
        <v>0</v>
      </c>
      <c r="AC108" s="146">
        <v>0</v>
      </c>
      <c r="AD108" s="146">
        <v>0</v>
      </c>
      <c r="AE108" s="168">
        <v>0</v>
      </c>
    </row>
    <row r="109" spans="1:31" ht="57" thickBot="1">
      <c r="A109" s="107" t="s">
        <v>335</v>
      </c>
      <c r="B109" s="108" t="s">
        <v>147</v>
      </c>
      <c r="C109" s="18" t="s">
        <v>8</v>
      </c>
      <c r="D109" s="64" t="s">
        <v>5</v>
      </c>
      <c r="E109" s="16" t="s">
        <v>5</v>
      </c>
      <c r="F109" s="17">
        <f>100/1000</f>
        <v>0.1</v>
      </c>
      <c r="G109" s="18" t="s">
        <v>134</v>
      </c>
      <c r="H109" s="5">
        <f aca="true" t="shared" si="3" ref="H109:H234">SUM(I109:S109)</f>
        <v>2489.9</v>
      </c>
      <c r="I109" s="5"/>
      <c r="J109" s="5"/>
      <c r="K109" s="5"/>
      <c r="L109" s="5"/>
      <c r="M109" s="5">
        <v>0</v>
      </c>
      <c r="N109" s="5">
        <v>2489.9</v>
      </c>
      <c r="O109" s="17"/>
      <c r="P109" s="17"/>
      <c r="Q109" s="17"/>
      <c r="R109" s="17"/>
      <c r="S109" s="58"/>
      <c r="T109" s="59">
        <f aca="true" t="shared" si="4" ref="T109:T172">SUM(U109:AE109)</f>
        <v>0</v>
      </c>
      <c r="U109" s="5"/>
      <c r="V109" s="5"/>
      <c r="W109" s="5"/>
      <c r="X109" s="5"/>
      <c r="Y109" s="5"/>
      <c r="Z109" s="60"/>
      <c r="AA109" s="57"/>
      <c r="AB109" s="57"/>
      <c r="AC109" s="57"/>
      <c r="AD109" s="57"/>
      <c r="AE109" s="61"/>
    </row>
    <row r="110" spans="1:31" ht="57" thickBot="1">
      <c r="A110" s="109">
        <f>A109+1</f>
        <v>41</v>
      </c>
      <c r="B110" s="108" t="s">
        <v>148</v>
      </c>
      <c r="C110" s="18" t="s">
        <v>8</v>
      </c>
      <c r="D110" s="64" t="s">
        <v>5</v>
      </c>
      <c r="E110" s="16" t="s">
        <v>5</v>
      </c>
      <c r="F110" s="110">
        <f>96/1000</f>
        <v>0.096</v>
      </c>
      <c r="G110" s="18" t="s">
        <v>134</v>
      </c>
      <c r="H110" s="5">
        <f t="shared" si="3"/>
        <v>992.7</v>
      </c>
      <c r="I110" s="5"/>
      <c r="J110" s="5"/>
      <c r="K110" s="5"/>
      <c r="L110" s="5"/>
      <c r="M110" s="5">
        <v>0</v>
      </c>
      <c r="N110" s="5">
        <v>992.7</v>
      </c>
      <c r="O110" s="17"/>
      <c r="P110" s="17"/>
      <c r="Q110" s="17"/>
      <c r="R110" s="17"/>
      <c r="S110" s="58"/>
      <c r="T110" s="59">
        <f t="shared" si="4"/>
        <v>0</v>
      </c>
      <c r="U110" s="5"/>
      <c r="V110" s="5"/>
      <c r="W110" s="5"/>
      <c r="X110" s="5"/>
      <c r="Y110" s="5"/>
      <c r="Z110" s="60"/>
      <c r="AA110" s="57"/>
      <c r="AB110" s="57"/>
      <c r="AC110" s="57"/>
      <c r="AD110" s="57"/>
      <c r="AE110" s="61"/>
    </row>
    <row r="111" spans="1:31" ht="57" thickBot="1">
      <c r="A111" s="109">
        <f>A110+1</f>
        <v>42</v>
      </c>
      <c r="B111" s="108" t="s">
        <v>149</v>
      </c>
      <c r="C111" s="18" t="s">
        <v>150</v>
      </c>
      <c r="D111" s="64" t="s">
        <v>5</v>
      </c>
      <c r="E111" s="16" t="s">
        <v>5</v>
      </c>
      <c r="F111" s="17" t="s">
        <v>17</v>
      </c>
      <c r="G111" s="18" t="s">
        <v>136</v>
      </c>
      <c r="H111" s="5">
        <f t="shared" si="3"/>
        <v>12193.2</v>
      </c>
      <c r="I111" s="5"/>
      <c r="J111" s="5"/>
      <c r="K111" s="5"/>
      <c r="L111" s="5"/>
      <c r="M111" s="5">
        <v>0</v>
      </c>
      <c r="N111" s="5">
        <v>0</v>
      </c>
      <c r="O111" s="17"/>
      <c r="P111" s="17"/>
      <c r="Q111" s="5">
        <v>4267.6</v>
      </c>
      <c r="R111" s="5">
        <v>7925.6</v>
      </c>
      <c r="S111" s="58"/>
      <c r="T111" s="59">
        <f t="shared" si="4"/>
        <v>0</v>
      </c>
      <c r="U111" s="5"/>
      <c r="V111" s="5"/>
      <c r="W111" s="5"/>
      <c r="X111" s="5"/>
      <c r="Y111" s="5"/>
      <c r="Z111" s="60"/>
      <c r="AA111" s="57"/>
      <c r="AB111" s="57"/>
      <c r="AC111" s="57"/>
      <c r="AD111" s="57"/>
      <c r="AE111" s="61"/>
    </row>
    <row r="112" spans="1:31" ht="75.75" thickBot="1">
      <c r="A112" s="109">
        <v>43</v>
      </c>
      <c r="B112" s="108" t="s">
        <v>296</v>
      </c>
      <c r="C112" s="18" t="s">
        <v>68</v>
      </c>
      <c r="D112" s="64" t="s">
        <v>5</v>
      </c>
      <c r="E112" s="16" t="s">
        <v>5</v>
      </c>
      <c r="F112" s="17">
        <f>5155.3/1000</f>
        <v>5.1553</v>
      </c>
      <c r="G112" s="18" t="s">
        <v>76</v>
      </c>
      <c r="H112" s="5">
        <f t="shared" si="3"/>
        <v>50686.299999999996</v>
      </c>
      <c r="I112" s="5"/>
      <c r="J112" s="5"/>
      <c r="K112" s="5"/>
      <c r="L112" s="5"/>
      <c r="M112" s="5">
        <v>542.2</v>
      </c>
      <c r="N112" s="5"/>
      <c r="O112" s="17">
        <v>50144.1</v>
      </c>
      <c r="P112" s="17"/>
      <c r="Q112" s="17"/>
      <c r="R112" s="17"/>
      <c r="S112" s="58"/>
      <c r="T112" s="59">
        <f t="shared" si="4"/>
        <v>542.2</v>
      </c>
      <c r="U112" s="5"/>
      <c r="V112" s="5"/>
      <c r="W112" s="5"/>
      <c r="X112" s="5"/>
      <c r="Y112" s="5">
        <v>542.2</v>
      </c>
      <c r="Z112" s="60"/>
      <c r="AA112" s="57"/>
      <c r="AB112" s="57"/>
      <c r="AC112" s="57"/>
      <c r="AD112" s="57"/>
      <c r="AE112" s="61"/>
    </row>
    <row r="113" spans="1:31" ht="57" thickBot="1">
      <c r="A113" s="109">
        <v>44</v>
      </c>
      <c r="B113" s="108" t="s">
        <v>151</v>
      </c>
      <c r="C113" s="18" t="s">
        <v>8</v>
      </c>
      <c r="D113" s="64" t="s">
        <v>5</v>
      </c>
      <c r="E113" s="16" t="s">
        <v>5</v>
      </c>
      <c r="F113" s="17">
        <f>2731/1000</f>
        <v>2.731</v>
      </c>
      <c r="G113" s="18" t="s">
        <v>160</v>
      </c>
      <c r="H113" s="5">
        <f t="shared" si="3"/>
        <v>27997.8</v>
      </c>
      <c r="I113" s="5"/>
      <c r="J113" s="5"/>
      <c r="K113" s="5"/>
      <c r="L113" s="5"/>
      <c r="M113" s="5"/>
      <c r="N113" s="5">
        <v>0</v>
      </c>
      <c r="O113" s="5">
        <v>27997.8</v>
      </c>
      <c r="P113" s="17"/>
      <c r="Q113" s="17"/>
      <c r="R113" s="17"/>
      <c r="S113" s="58"/>
      <c r="T113" s="59">
        <f t="shared" si="4"/>
        <v>0</v>
      </c>
      <c r="U113" s="5"/>
      <c r="V113" s="5"/>
      <c r="W113" s="5"/>
      <c r="X113" s="5"/>
      <c r="Y113" s="5"/>
      <c r="Z113" s="60"/>
      <c r="AA113" s="57"/>
      <c r="AB113" s="57"/>
      <c r="AC113" s="57"/>
      <c r="AD113" s="57"/>
      <c r="AE113" s="61"/>
    </row>
    <row r="114" spans="1:31" ht="57" thickBot="1">
      <c r="A114" s="109">
        <v>45</v>
      </c>
      <c r="B114" s="108" t="s">
        <v>297</v>
      </c>
      <c r="C114" s="18" t="s">
        <v>68</v>
      </c>
      <c r="D114" s="64" t="s">
        <v>5</v>
      </c>
      <c r="E114" s="16" t="s">
        <v>5</v>
      </c>
      <c r="F114" s="17">
        <f>4500/1000</f>
        <v>4.5</v>
      </c>
      <c r="G114" s="18" t="s">
        <v>336</v>
      </c>
      <c r="H114" s="5">
        <f t="shared" si="3"/>
        <v>3391.8</v>
      </c>
      <c r="I114" s="5"/>
      <c r="J114" s="5"/>
      <c r="K114" s="5"/>
      <c r="L114" s="5"/>
      <c r="M114" s="5"/>
      <c r="N114" s="5">
        <v>0</v>
      </c>
      <c r="O114" s="17">
        <v>3391.8</v>
      </c>
      <c r="P114" s="17"/>
      <c r="Q114" s="17"/>
      <c r="R114" s="17"/>
      <c r="S114" s="58"/>
      <c r="T114" s="59">
        <f t="shared" si="4"/>
        <v>0</v>
      </c>
      <c r="U114" s="5"/>
      <c r="V114" s="5"/>
      <c r="W114" s="5"/>
      <c r="X114" s="5"/>
      <c r="Y114" s="5"/>
      <c r="Z114" s="60"/>
      <c r="AA114" s="57"/>
      <c r="AB114" s="57"/>
      <c r="AC114" s="57"/>
      <c r="AD114" s="57"/>
      <c r="AE114" s="61"/>
    </row>
    <row r="115" spans="1:31" ht="57" thickBot="1">
      <c r="A115" s="109">
        <v>46</v>
      </c>
      <c r="B115" s="108" t="s">
        <v>152</v>
      </c>
      <c r="C115" s="18" t="s">
        <v>8</v>
      </c>
      <c r="D115" s="64" t="s">
        <v>5</v>
      </c>
      <c r="E115" s="16" t="s">
        <v>5</v>
      </c>
      <c r="F115" s="17" t="s">
        <v>153</v>
      </c>
      <c r="G115" s="18" t="s">
        <v>346</v>
      </c>
      <c r="H115" s="5">
        <f t="shared" si="3"/>
        <v>19409.199999999997</v>
      </c>
      <c r="I115" s="5"/>
      <c r="J115" s="5"/>
      <c r="K115" s="5"/>
      <c r="L115" s="5"/>
      <c r="M115" s="5"/>
      <c r="N115" s="5">
        <v>8788.9</v>
      </c>
      <c r="O115" s="17">
        <v>10620.3</v>
      </c>
      <c r="P115" s="17"/>
      <c r="Q115" s="17"/>
      <c r="R115" s="17"/>
      <c r="S115" s="58"/>
      <c r="T115" s="59">
        <f t="shared" si="4"/>
        <v>0</v>
      </c>
      <c r="U115" s="5"/>
      <c r="V115" s="5"/>
      <c r="W115" s="5"/>
      <c r="X115" s="5"/>
      <c r="Y115" s="5"/>
      <c r="Z115" s="60"/>
      <c r="AA115" s="57"/>
      <c r="AB115" s="57"/>
      <c r="AC115" s="57"/>
      <c r="AD115" s="57"/>
      <c r="AE115" s="61"/>
    </row>
    <row r="116" spans="1:31" ht="57" thickBot="1">
      <c r="A116" s="109">
        <v>47</v>
      </c>
      <c r="B116" s="108" t="s">
        <v>298</v>
      </c>
      <c r="C116" s="18" t="s">
        <v>68</v>
      </c>
      <c r="D116" s="64" t="s">
        <v>5</v>
      </c>
      <c r="E116" s="16" t="s">
        <v>5</v>
      </c>
      <c r="F116" s="17">
        <f>731.5/1000</f>
        <v>0.7315</v>
      </c>
      <c r="G116" s="18" t="s">
        <v>76</v>
      </c>
      <c r="H116" s="5">
        <f t="shared" si="3"/>
        <v>9737.9</v>
      </c>
      <c r="I116" s="5"/>
      <c r="J116" s="5"/>
      <c r="K116" s="5"/>
      <c r="L116" s="5"/>
      <c r="M116" s="17">
        <v>303.3</v>
      </c>
      <c r="N116" s="5"/>
      <c r="O116" s="17">
        <v>9434.6</v>
      </c>
      <c r="P116" s="17">
        <v>0</v>
      </c>
      <c r="Q116" s="17"/>
      <c r="R116" s="17"/>
      <c r="S116" s="58"/>
      <c r="T116" s="59">
        <f t="shared" si="4"/>
        <v>303.3</v>
      </c>
      <c r="U116" s="5"/>
      <c r="V116" s="5"/>
      <c r="W116" s="5"/>
      <c r="X116" s="5"/>
      <c r="Y116" s="17">
        <v>303.3</v>
      </c>
      <c r="Z116" s="60"/>
      <c r="AA116" s="57"/>
      <c r="AB116" s="57"/>
      <c r="AC116" s="57"/>
      <c r="AD116" s="57"/>
      <c r="AE116" s="61"/>
    </row>
    <row r="117" spans="1:31" ht="57" thickBot="1">
      <c r="A117" s="109">
        <v>48</v>
      </c>
      <c r="B117" s="108" t="s">
        <v>154</v>
      </c>
      <c r="C117" s="18" t="s">
        <v>8</v>
      </c>
      <c r="D117" s="64" t="s">
        <v>5</v>
      </c>
      <c r="E117" s="16" t="s">
        <v>5</v>
      </c>
      <c r="F117" s="17">
        <f>3000/1000</f>
        <v>3</v>
      </c>
      <c r="G117" s="18" t="s">
        <v>157</v>
      </c>
      <c r="H117" s="5">
        <f t="shared" si="3"/>
        <v>5738.7</v>
      </c>
      <c r="I117" s="5"/>
      <c r="J117" s="5"/>
      <c r="K117" s="5"/>
      <c r="L117" s="5"/>
      <c r="M117" s="5"/>
      <c r="N117" s="5"/>
      <c r="O117" s="17"/>
      <c r="P117" s="17"/>
      <c r="Q117" s="17">
        <v>5738.7</v>
      </c>
      <c r="R117" s="17"/>
      <c r="S117" s="58"/>
      <c r="T117" s="59">
        <f t="shared" si="4"/>
        <v>0</v>
      </c>
      <c r="U117" s="5"/>
      <c r="V117" s="5"/>
      <c r="W117" s="5"/>
      <c r="X117" s="5"/>
      <c r="Y117" s="5"/>
      <c r="Z117" s="60"/>
      <c r="AA117" s="57"/>
      <c r="AB117" s="57"/>
      <c r="AC117" s="57"/>
      <c r="AD117" s="57"/>
      <c r="AE117" s="61"/>
    </row>
    <row r="118" spans="1:31" ht="37.5">
      <c r="A118" s="235">
        <f>A117+1</f>
        <v>49</v>
      </c>
      <c r="B118" s="237" t="s">
        <v>156</v>
      </c>
      <c r="C118" s="44" t="s">
        <v>68</v>
      </c>
      <c r="D118" s="187" t="s">
        <v>5</v>
      </c>
      <c r="E118" s="187" t="s">
        <v>5</v>
      </c>
      <c r="F118" s="192">
        <f>5000/1000</f>
        <v>5</v>
      </c>
      <c r="G118" s="44" t="s">
        <v>76</v>
      </c>
      <c r="H118" s="46">
        <f t="shared" si="3"/>
        <v>5000</v>
      </c>
      <c r="I118" s="46"/>
      <c r="J118" s="46"/>
      <c r="K118" s="46"/>
      <c r="L118" s="46"/>
      <c r="M118" s="46"/>
      <c r="N118" s="46"/>
      <c r="O118" s="22"/>
      <c r="P118" s="22"/>
      <c r="Q118" s="22">
        <v>5000</v>
      </c>
      <c r="R118" s="22"/>
      <c r="S118" s="47"/>
      <c r="T118" s="111">
        <f t="shared" si="4"/>
        <v>0</v>
      </c>
      <c r="U118" s="46"/>
      <c r="V118" s="46"/>
      <c r="W118" s="46"/>
      <c r="X118" s="46"/>
      <c r="Y118" s="46"/>
      <c r="Z118" s="55"/>
      <c r="AA118" s="43"/>
      <c r="AB118" s="43"/>
      <c r="AC118" s="43"/>
      <c r="AD118" s="43"/>
      <c r="AE118" s="49"/>
    </row>
    <row r="119" spans="1:31" ht="63.75" customHeight="1" thickBot="1">
      <c r="A119" s="236"/>
      <c r="B119" s="238"/>
      <c r="C119" s="18" t="s">
        <v>8</v>
      </c>
      <c r="D119" s="188"/>
      <c r="E119" s="188"/>
      <c r="F119" s="194"/>
      <c r="G119" s="18" t="s">
        <v>164</v>
      </c>
      <c r="H119" s="5">
        <f t="shared" si="3"/>
        <v>40000</v>
      </c>
      <c r="I119" s="5"/>
      <c r="J119" s="5"/>
      <c r="K119" s="5"/>
      <c r="L119" s="5"/>
      <c r="M119" s="5"/>
      <c r="N119" s="5"/>
      <c r="O119" s="17"/>
      <c r="P119" s="17"/>
      <c r="Q119" s="17"/>
      <c r="R119" s="17">
        <v>40000</v>
      </c>
      <c r="S119" s="58"/>
      <c r="T119" s="59">
        <f t="shared" si="4"/>
        <v>0</v>
      </c>
      <c r="U119" s="5"/>
      <c r="V119" s="5"/>
      <c r="W119" s="5"/>
      <c r="X119" s="5"/>
      <c r="Y119" s="5"/>
      <c r="Z119" s="60"/>
      <c r="AA119" s="57"/>
      <c r="AB119" s="57"/>
      <c r="AC119" s="57"/>
      <c r="AD119" s="57"/>
      <c r="AE119" s="61"/>
    </row>
    <row r="120" spans="1:31" ht="57" thickBot="1">
      <c r="A120" s="109">
        <f>A118+1</f>
        <v>50</v>
      </c>
      <c r="B120" s="108" t="s">
        <v>158</v>
      </c>
      <c r="C120" s="18" t="s">
        <v>159</v>
      </c>
      <c r="D120" s="64" t="s">
        <v>5</v>
      </c>
      <c r="E120" s="16" t="s">
        <v>5</v>
      </c>
      <c r="F120" s="17" t="s">
        <v>17</v>
      </c>
      <c r="G120" s="18" t="s">
        <v>157</v>
      </c>
      <c r="H120" s="5">
        <f t="shared" si="3"/>
        <v>59969</v>
      </c>
      <c r="I120" s="5"/>
      <c r="J120" s="5"/>
      <c r="K120" s="5"/>
      <c r="L120" s="5"/>
      <c r="M120" s="5"/>
      <c r="N120" s="5"/>
      <c r="O120" s="17"/>
      <c r="P120" s="17"/>
      <c r="Q120" s="17">
        <v>59969</v>
      </c>
      <c r="R120" s="17"/>
      <c r="S120" s="58"/>
      <c r="T120" s="59">
        <f t="shared" si="4"/>
        <v>0</v>
      </c>
      <c r="U120" s="5"/>
      <c r="V120" s="5"/>
      <c r="W120" s="5"/>
      <c r="X120" s="5"/>
      <c r="Y120" s="5"/>
      <c r="Z120" s="60"/>
      <c r="AA120" s="57"/>
      <c r="AB120" s="57"/>
      <c r="AC120" s="57"/>
      <c r="AD120" s="57"/>
      <c r="AE120" s="61"/>
    </row>
    <row r="121" spans="1:31" ht="57" thickBot="1">
      <c r="A121" s="109">
        <v>51</v>
      </c>
      <c r="B121" s="108" t="s">
        <v>299</v>
      </c>
      <c r="C121" s="18" t="s">
        <v>68</v>
      </c>
      <c r="D121" s="64" t="s">
        <v>5</v>
      </c>
      <c r="E121" s="16" t="s">
        <v>5</v>
      </c>
      <c r="F121" s="17">
        <f>27500/1000</f>
        <v>27.5</v>
      </c>
      <c r="G121" s="18" t="s">
        <v>76</v>
      </c>
      <c r="H121" s="5">
        <f t="shared" si="3"/>
        <v>19221.3</v>
      </c>
      <c r="I121" s="5"/>
      <c r="J121" s="5"/>
      <c r="K121" s="5"/>
      <c r="L121" s="5"/>
      <c r="M121" s="5"/>
      <c r="N121" s="5"/>
      <c r="O121" s="17"/>
      <c r="P121" s="17"/>
      <c r="Q121" s="17">
        <v>19221.3</v>
      </c>
      <c r="R121" s="17"/>
      <c r="S121" s="58"/>
      <c r="T121" s="59">
        <f t="shared" si="4"/>
        <v>0</v>
      </c>
      <c r="U121" s="5"/>
      <c r="V121" s="5"/>
      <c r="W121" s="5"/>
      <c r="X121" s="5"/>
      <c r="Y121" s="5"/>
      <c r="Z121" s="60"/>
      <c r="AA121" s="57"/>
      <c r="AB121" s="57"/>
      <c r="AC121" s="57"/>
      <c r="AD121" s="57"/>
      <c r="AE121" s="61"/>
    </row>
    <row r="122" spans="1:31" ht="57" thickBot="1">
      <c r="A122" s="109">
        <v>52</v>
      </c>
      <c r="B122" s="108" t="s">
        <v>161</v>
      </c>
      <c r="C122" s="18" t="s">
        <v>162</v>
      </c>
      <c r="D122" s="64" t="s">
        <v>5</v>
      </c>
      <c r="E122" s="16" t="s">
        <v>5</v>
      </c>
      <c r="F122" s="17" t="s">
        <v>17</v>
      </c>
      <c r="G122" s="18" t="s">
        <v>157</v>
      </c>
      <c r="H122" s="5">
        <f t="shared" si="3"/>
        <v>32063.4</v>
      </c>
      <c r="I122" s="5"/>
      <c r="J122" s="5"/>
      <c r="K122" s="5"/>
      <c r="L122" s="5"/>
      <c r="M122" s="5"/>
      <c r="N122" s="5"/>
      <c r="O122" s="17"/>
      <c r="P122" s="17"/>
      <c r="Q122" s="17">
        <v>32063.4</v>
      </c>
      <c r="R122" s="17"/>
      <c r="S122" s="58"/>
      <c r="T122" s="59">
        <f t="shared" si="4"/>
        <v>0</v>
      </c>
      <c r="U122" s="5"/>
      <c r="V122" s="5"/>
      <c r="W122" s="5"/>
      <c r="X122" s="5"/>
      <c r="Y122" s="5"/>
      <c r="Z122" s="60"/>
      <c r="AA122" s="57"/>
      <c r="AB122" s="57"/>
      <c r="AC122" s="57"/>
      <c r="AD122" s="57"/>
      <c r="AE122" s="61"/>
    </row>
    <row r="123" spans="1:31" ht="37.5">
      <c r="A123" s="235">
        <v>53</v>
      </c>
      <c r="B123" s="237" t="s">
        <v>163</v>
      </c>
      <c r="C123" s="44" t="s">
        <v>68</v>
      </c>
      <c r="D123" s="187" t="s">
        <v>5</v>
      </c>
      <c r="E123" s="187" t="s">
        <v>5</v>
      </c>
      <c r="F123" s="192">
        <f>2150/1000</f>
        <v>2.15</v>
      </c>
      <c r="G123" s="44" t="s">
        <v>76</v>
      </c>
      <c r="H123" s="46">
        <f t="shared" si="3"/>
        <v>2000</v>
      </c>
      <c r="I123" s="46"/>
      <c r="J123" s="46"/>
      <c r="K123" s="46"/>
      <c r="L123" s="46"/>
      <c r="M123" s="46"/>
      <c r="N123" s="46"/>
      <c r="O123" s="22"/>
      <c r="P123" s="22"/>
      <c r="Q123" s="22">
        <v>2000</v>
      </c>
      <c r="R123" s="22"/>
      <c r="S123" s="47"/>
      <c r="T123" s="111">
        <f t="shared" si="4"/>
        <v>0</v>
      </c>
      <c r="U123" s="46"/>
      <c r="V123" s="46"/>
      <c r="W123" s="46"/>
      <c r="X123" s="46"/>
      <c r="Y123" s="46"/>
      <c r="Z123" s="55"/>
      <c r="AA123" s="43"/>
      <c r="AB123" s="43"/>
      <c r="AC123" s="43"/>
      <c r="AD123" s="43"/>
      <c r="AE123" s="49"/>
    </row>
    <row r="124" spans="1:31" ht="38.25" thickBot="1">
      <c r="A124" s="236"/>
      <c r="B124" s="238"/>
      <c r="C124" s="18" t="s">
        <v>8</v>
      </c>
      <c r="D124" s="188"/>
      <c r="E124" s="188"/>
      <c r="F124" s="194"/>
      <c r="G124" s="18" t="s">
        <v>175</v>
      </c>
      <c r="H124" s="5">
        <f t="shared" si="3"/>
        <v>16082</v>
      </c>
      <c r="I124" s="5"/>
      <c r="J124" s="5"/>
      <c r="K124" s="5"/>
      <c r="L124" s="5"/>
      <c r="M124" s="5"/>
      <c r="N124" s="4"/>
      <c r="O124" s="9"/>
      <c r="P124" s="9"/>
      <c r="Q124" s="17"/>
      <c r="R124" s="17">
        <v>1032</v>
      </c>
      <c r="S124" s="58">
        <v>15050</v>
      </c>
      <c r="T124" s="59">
        <f t="shared" si="4"/>
        <v>0</v>
      </c>
      <c r="U124" s="5"/>
      <c r="V124" s="5"/>
      <c r="W124" s="5"/>
      <c r="X124" s="5"/>
      <c r="Y124" s="5"/>
      <c r="Z124" s="60"/>
      <c r="AA124" s="57"/>
      <c r="AB124" s="57"/>
      <c r="AC124" s="57"/>
      <c r="AD124" s="57"/>
      <c r="AE124" s="61"/>
    </row>
    <row r="125" spans="1:31" ht="37.5">
      <c r="A125" s="235">
        <f>A123+1</f>
        <v>54</v>
      </c>
      <c r="B125" s="237" t="s">
        <v>165</v>
      </c>
      <c r="C125" s="44" t="s">
        <v>68</v>
      </c>
      <c r="D125" s="187" t="s">
        <v>5</v>
      </c>
      <c r="E125" s="187" t="s">
        <v>5</v>
      </c>
      <c r="F125" s="192">
        <f>650/1000</f>
        <v>0.65</v>
      </c>
      <c r="G125" s="44" t="s">
        <v>76</v>
      </c>
      <c r="H125" s="46">
        <f t="shared" si="3"/>
        <v>650</v>
      </c>
      <c r="I125" s="46"/>
      <c r="J125" s="46"/>
      <c r="K125" s="46"/>
      <c r="L125" s="46"/>
      <c r="M125" s="46"/>
      <c r="N125" s="46"/>
      <c r="O125" s="22"/>
      <c r="P125" s="22"/>
      <c r="Q125" s="22">
        <v>650</v>
      </c>
      <c r="R125" s="22"/>
      <c r="S125" s="47"/>
      <c r="T125" s="111">
        <f t="shared" si="4"/>
        <v>0</v>
      </c>
      <c r="U125" s="46"/>
      <c r="V125" s="46"/>
      <c r="W125" s="46"/>
      <c r="X125" s="46"/>
      <c r="Y125" s="46"/>
      <c r="Z125" s="55"/>
      <c r="AA125" s="43"/>
      <c r="AB125" s="43"/>
      <c r="AC125" s="43"/>
      <c r="AD125" s="43"/>
      <c r="AE125" s="49"/>
    </row>
    <row r="126" spans="1:31" ht="38.25" thickBot="1">
      <c r="A126" s="236"/>
      <c r="B126" s="238"/>
      <c r="C126" s="18" t="s">
        <v>8</v>
      </c>
      <c r="D126" s="188"/>
      <c r="E126" s="188"/>
      <c r="F126" s="194"/>
      <c r="G126" s="18" t="s">
        <v>164</v>
      </c>
      <c r="H126" s="5">
        <f t="shared" si="3"/>
        <v>4225</v>
      </c>
      <c r="I126" s="5"/>
      <c r="J126" s="5"/>
      <c r="K126" s="5"/>
      <c r="L126" s="5"/>
      <c r="M126" s="5"/>
      <c r="N126" s="5"/>
      <c r="O126" s="17"/>
      <c r="P126" s="23"/>
      <c r="Q126" s="17"/>
      <c r="R126" s="17">
        <v>4225</v>
      </c>
      <c r="S126" s="58"/>
      <c r="T126" s="59">
        <f t="shared" si="4"/>
        <v>0</v>
      </c>
      <c r="U126" s="5"/>
      <c r="V126" s="5"/>
      <c r="W126" s="5"/>
      <c r="X126" s="5"/>
      <c r="Y126" s="5"/>
      <c r="Z126" s="60"/>
      <c r="AA126" s="57"/>
      <c r="AB126" s="57"/>
      <c r="AC126" s="57"/>
      <c r="AD126" s="57"/>
      <c r="AE126" s="61"/>
    </row>
    <row r="127" spans="1:31" ht="37.5">
      <c r="A127" s="235">
        <f>A125+1</f>
        <v>55</v>
      </c>
      <c r="B127" s="237" t="s">
        <v>166</v>
      </c>
      <c r="C127" s="44" t="s">
        <v>68</v>
      </c>
      <c r="D127" s="187" t="s">
        <v>5</v>
      </c>
      <c r="E127" s="187" t="s">
        <v>5</v>
      </c>
      <c r="F127" s="192">
        <f>600/1000</f>
        <v>0.6</v>
      </c>
      <c r="G127" s="44" t="s">
        <v>76</v>
      </c>
      <c r="H127" s="46">
        <f t="shared" si="3"/>
        <v>698.9</v>
      </c>
      <c r="I127" s="46"/>
      <c r="J127" s="46"/>
      <c r="K127" s="46"/>
      <c r="L127" s="46"/>
      <c r="M127" s="46"/>
      <c r="N127" s="11"/>
      <c r="O127" s="25">
        <v>698.9</v>
      </c>
      <c r="P127" s="25"/>
      <c r="Q127" s="22"/>
      <c r="R127" s="22"/>
      <c r="S127" s="47"/>
      <c r="T127" s="111">
        <f t="shared" si="4"/>
        <v>0</v>
      </c>
      <c r="U127" s="46"/>
      <c r="V127" s="46"/>
      <c r="W127" s="46"/>
      <c r="X127" s="46"/>
      <c r="Y127" s="46"/>
      <c r="Z127" s="55"/>
      <c r="AA127" s="43"/>
      <c r="AB127" s="43"/>
      <c r="AC127" s="43"/>
      <c r="AD127" s="43"/>
      <c r="AE127" s="49"/>
    </row>
    <row r="128" spans="1:31" ht="38.25" thickBot="1">
      <c r="A128" s="236"/>
      <c r="B128" s="238"/>
      <c r="C128" s="18" t="s">
        <v>8</v>
      </c>
      <c r="D128" s="188"/>
      <c r="E128" s="188"/>
      <c r="F128" s="194"/>
      <c r="G128" s="18" t="s">
        <v>155</v>
      </c>
      <c r="H128" s="5">
        <f t="shared" si="3"/>
        <v>14579.1</v>
      </c>
      <c r="I128" s="5"/>
      <c r="J128" s="5"/>
      <c r="K128" s="5"/>
      <c r="L128" s="5"/>
      <c r="M128" s="5"/>
      <c r="N128" s="5"/>
      <c r="O128" s="17"/>
      <c r="P128" s="17">
        <v>14579.1</v>
      </c>
      <c r="Q128" s="17"/>
      <c r="R128" s="17"/>
      <c r="S128" s="58"/>
      <c r="T128" s="59">
        <f t="shared" si="4"/>
        <v>0</v>
      </c>
      <c r="U128" s="5"/>
      <c r="V128" s="5"/>
      <c r="W128" s="5"/>
      <c r="X128" s="5"/>
      <c r="Y128" s="5"/>
      <c r="Z128" s="60"/>
      <c r="AA128" s="57"/>
      <c r="AB128" s="57"/>
      <c r="AC128" s="57"/>
      <c r="AD128" s="57"/>
      <c r="AE128" s="61"/>
    </row>
    <row r="129" spans="1:31" ht="37.5">
      <c r="A129" s="235">
        <f>A127+1</f>
        <v>56</v>
      </c>
      <c r="B129" s="237" t="s">
        <v>167</v>
      </c>
      <c r="C129" s="44" t="s">
        <v>68</v>
      </c>
      <c r="D129" s="187" t="s">
        <v>5</v>
      </c>
      <c r="E129" s="187" t="s">
        <v>5</v>
      </c>
      <c r="F129" s="192">
        <f>500/1000</f>
        <v>0.5</v>
      </c>
      <c r="G129" s="44" t="s">
        <v>337</v>
      </c>
      <c r="H129" s="46">
        <f t="shared" si="3"/>
        <v>1630.8</v>
      </c>
      <c r="I129" s="46"/>
      <c r="J129" s="46"/>
      <c r="K129" s="46"/>
      <c r="L129" s="46"/>
      <c r="M129" s="46"/>
      <c r="N129" s="46"/>
      <c r="O129" s="22">
        <v>1630.8</v>
      </c>
      <c r="P129" s="22"/>
      <c r="Q129" s="22"/>
      <c r="R129" s="22"/>
      <c r="S129" s="47"/>
      <c r="T129" s="111">
        <f t="shared" si="4"/>
        <v>0</v>
      </c>
      <c r="U129" s="46"/>
      <c r="V129" s="46"/>
      <c r="W129" s="46"/>
      <c r="X129" s="46"/>
      <c r="Y129" s="46"/>
      <c r="Z129" s="55"/>
      <c r="AA129" s="43"/>
      <c r="AB129" s="43"/>
      <c r="AC129" s="43"/>
      <c r="AD129" s="43"/>
      <c r="AE129" s="49"/>
    </row>
    <row r="130" spans="1:31" ht="38.25" thickBot="1">
      <c r="A130" s="236"/>
      <c r="B130" s="238"/>
      <c r="C130" s="18" t="s">
        <v>8</v>
      </c>
      <c r="D130" s="188"/>
      <c r="E130" s="188"/>
      <c r="F130" s="194"/>
      <c r="G130" s="18" t="s">
        <v>155</v>
      </c>
      <c r="H130" s="5">
        <f t="shared" si="3"/>
        <v>34017.8</v>
      </c>
      <c r="I130" s="5"/>
      <c r="J130" s="5"/>
      <c r="K130" s="5"/>
      <c r="L130" s="5"/>
      <c r="M130" s="5"/>
      <c r="N130" s="5"/>
      <c r="O130" s="17"/>
      <c r="P130" s="17">
        <v>34017.8</v>
      </c>
      <c r="Q130" s="17"/>
      <c r="R130" s="17"/>
      <c r="S130" s="58"/>
      <c r="T130" s="59">
        <f t="shared" si="4"/>
        <v>0</v>
      </c>
      <c r="U130" s="5"/>
      <c r="V130" s="5"/>
      <c r="W130" s="5"/>
      <c r="X130" s="5"/>
      <c r="Y130" s="5"/>
      <c r="Z130" s="60"/>
      <c r="AA130" s="57"/>
      <c r="AB130" s="57"/>
      <c r="AC130" s="57"/>
      <c r="AD130" s="57"/>
      <c r="AE130" s="61"/>
    </row>
    <row r="131" spans="1:31" ht="57" thickBot="1">
      <c r="A131" s="109">
        <f>A129+1</f>
        <v>57</v>
      </c>
      <c r="B131" s="108" t="s">
        <v>168</v>
      </c>
      <c r="C131" s="18" t="s">
        <v>8</v>
      </c>
      <c r="D131" s="64" t="s">
        <v>5</v>
      </c>
      <c r="E131" s="16" t="s">
        <v>5</v>
      </c>
      <c r="F131" s="17">
        <f>3000/1000</f>
        <v>3</v>
      </c>
      <c r="G131" s="18" t="s">
        <v>164</v>
      </c>
      <c r="H131" s="5">
        <f t="shared" si="3"/>
        <v>31203.899999999998</v>
      </c>
      <c r="I131" s="5"/>
      <c r="J131" s="5"/>
      <c r="K131" s="5"/>
      <c r="L131" s="5"/>
      <c r="M131" s="5"/>
      <c r="N131" s="5"/>
      <c r="O131" s="17"/>
      <c r="P131" s="17"/>
      <c r="Q131" s="17">
        <v>14406.8</v>
      </c>
      <c r="R131" s="17">
        <v>16797.1</v>
      </c>
      <c r="S131" s="58"/>
      <c r="T131" s="59">
        <f t="shared" si="4"/>
        <v>0</v>
      </c>
      <c r="U131" s="5"/>
      <c r="V131" s="5"/>
      <c r="W131" s="5"/>
      <c r="X131" s="5"/>
      <c r="Y131" s="5"/>
      <c r="Z131" s="60"/>
      <c r="AA131" s="57"/>
      <c r="AB131" s="57"/>
      <c r="AC131" s="57"/>
      <c r="AD131" s="57"/>
      <c r="AE131" s="61"/>
    </row>
    <row r="132" spans="1:31" ht="57" thickBot="1">
      <c r="A132" s="109">
        <v>58</v>
      </c>
      <c r="B132" s="108" t="s">
        <v>300</v>
      </c>
      <c r="C132" s="44" t="s">
        <v>68</v>
      </c>
      <c r="D132" s="64" t="s">
        <v>5</v>
      </c>
      <c r="E132" s="16" t="s">
        <v>5</v>
      </c>
      <c r="F132" s="17">
        <f>4184/1000</f>
        <v>4.184</v>
      </c>
      <c r="G132" s="18" t="s">
        <v>338</v>
      </c>
      <c r="H132" s="5">
        <f t="shared" si="3"/>
        <v>4000</v>
      </c>
      <c r="I132" s="5"/>
      <c r="J132" s="5"/>
      <c r="K132" s="5"/>
      <c r="L132" s="5"/>
      <c r="M132" s="5"/>
      <c r="N132" s="5"/>
      <c r="O132" s="17"/>
      <c r="P132" s="17"/>
      <c r="Q132" s="17">
        <v>4000</v>
      </c>
      <c r="R132" s="17"/>
      <c r="S132" s="58"/>
      <c r="T132" s="59">
        <f t="shared" si="4"/>
        <v>0</v>
      </c>
      <c r="U132" s="5"/>
      <c r="V132" s="5"/>
      <c r="W132" s="5"/>
      <c r="X132" s="5"/>
      <c r="Y132" s="5"/>
      <c r="Z132" s="60"/>
      <c r="AA132" s="57"/>
      <c r="AB132" s="57"/>
      <c r="AC132" s="57"/>
      <c r="AD132" s="57"/>
      <c r="AE132" s="61"/>
    </row>
    <row r="133" spans="1:31" ht="57" thickBot="1">
      <c r="A133" s="109">
        <v>59</v>
      </c>
      <c r="B133" s="108" t="s">
        <v>301</v>
      </c>
      <c r="C133" s="44" t="s">
        <v>68</v>
      </c>
      <c r="D133" s="64" t="s">
        <v>5</v>
      </c>
      <c r="E133" s="16" t="s">
        <v>5</v>
      </c>
      <c r="F133" s="17">
        <f>1100/1000</f>
        <v>1.1</v>
      </c>
      <c r="G133" s="18" t="s">
        <v>76</v>
      </c>
      <c r="H133" s="5">
        <f t="shared" si="3"/>
        <v>1700</v>
      </c>
      <c r="I133" s="5"/>
      <c r="J133" s="5"/>
      <c r="K133" s="5"/>
      <c r="L133" s="5"/>
      <c r="M133" s="5"/>
      <c r="N133" s="5"/>
      <c r="O133" s="17"/>
      <c r="P133" s="17"/>
      <c r="Q133" s="17">
        <v>1700</v>
      </c>
      <c r="R133" s="17"/>
      <c r="S133" s="58"/>
      <c r="T133" s="59">
        <f t="shared" si="4"/>
        <v>0</v>
      </c>
      <c r="U133" s="5"/>
      <c r="V133" s="5"/>
      <c r="W133" s="5"/>
      <c r="X133" s="5"/>
      <c r="Y133" s="5"/>
      <c r="Z133" s="60"/>
      <c r="AA133" s="57"/>
      <c r="AB133" s="57"/>
      <c r="AC133" s="57"/>
      <c r="AD133" s="57"/>
      <c r="AE133" s="61"/>
    </row>
    <row r="134" spans="1:31" ht="37.5">
      <c r="A134" s="235">
        <v>60</v>
      </c>
      <c r="B134" s="237" t="s">
        <v>169</v>
      </c>
      <c r="C134" s="44" t="s">
        <v>68</v>
      </c>
      <c r="D134" s="187" t="s">
        <v>5</v>
      </c>
      <c r="E134" s="187" t="s">
        <v>5</v>
      </c>
      <c r="F134" s="192">
        <f>12000/1000</f>
        <v>12</v>
      </c>
      <c r="G134" s="44" t="s">
        <v>76</v>
      </c>
      <c r="H134" s="46">
        <f t="shared" si="3"/>
        <v>760</v>
      </c>
      <c r="I134" s="46"/>
      <c r="J134" s="46"/>
      <c r="K134" s="46"/>
      <c r="L134" s="46"/>
      <c r="M134" s="46"/>
      <c r="N134" s="46"/>
      <c r="O134" s="22"/>
      <c r="P134" s="22"/>
      <c r="Q134" s="22">
        <v>760</v>
      </c>
      <c r="R134" s="22"/>
      <c r="S134" s="47"/>
      <c r="T134" s="111">
        <f t="shared" si="4"/>
        <v>0</v>
      </c>
      <c r="U134" s="46"/>
      <c r="V134" s="46"/>
      <c r="W134" s="46"/>
      <c r="X134" s="46"/>
      <c r="Y134" s="46"/>
      <c r="Z134" s="55"/>
      <c r="AA134" s="43"/>
      <c r="AB134" s="43"/>
      <c r="AC134" s="43"/>
      <c r="AD134" s="43"/>
      <c r="AE134" s="49"/>
    </row>
    <row r="135" spans="1:31" ht="138" customHeight="1" thickBot="1">
      <c r="A135" s="236"/>
      <c r="B135" s="238"/>
      <c r="C135" s="82" t="s">
        <v>8</v>
      </c>
      <c r="D135" s="188"/>
      <c r="E135" s="188"/>
      <c r="F135" s="194"/>
      <c r="G135" s="18" t="s">
        <v>164</v>
      </c>
      <c r="H135" s="5">
        <f t="shared" si="3"/>
        <v>5000</v>
      </c>
      <c r="I135" s="5"/>
      <c r="J135" s="5"/>
      <c r="K135" s="5"/>
      <c r="L135" s="5"/>
      <c r="M135" s="5"/>
      <c r="N135" s="5"/>
      <c r="O135" s="17"/>
      <c r="P135" s="17"/>
      <c r="Q135" s="17"/>
      <c r="R135" s="17">
        <v>5000</v>
      </c>
      <c r="S135" s="58"/>
      <c r="T135" s="59">
        <f t="shared" si="4"/>
        <v>0</v>
      </c>
      <c r="U135" s="5"/>
      <c r="V135" s="5"/>
      <c r="W135" s="5"/>
      <c r="X135" s="5"/>
      <c r="Y135" s="5"/>
      <c r="Z135" s="60"/>
      <c r="AA135" s="57"/>
      <c r="AB135" s="57"/>
      <c r="AC135" s="57"/>
      <c r="AD135" s="57"/>
      <c r="AE135" s="61"/>
    </row>
    <row r="136" spans="1:31" ht="78" customHeight="1" thickBot="1">
      <c r="A136" s="109">
        <v>61</v>
      </c>
      <c r="B136" s="108" t="s">
        <v>302</v>
      </c>
      <c r="C136" s="18" t="s">
        <v>68</v>
      </c>
      <c r="D136" s="64" t="s">
        <v>5</v>
      </c>
      <c r="E136" s="16" t="s">
        <v>5</v>
      </c>
      <c r="F136" s="17">
        <f>200/1000</f>
        <v>0.2</v>
      </c>
      <c r="G136" s="18" t="s">
        <v>76</v>
      </c>
      <c r="H136" s="5">
        <f t="shared" si="3"/>
        <v>1400</v>
      </c>
      <c r="I136" s="5"/>
      <c r="J136" s="5"/>
      <c r="K136" s="5"/>
      <c r="L136" s="5"/>
      <c r="M136" s="5"/>
      <c r="N136" s="5"/>
      <c r="O136" s="17"/>
      <c r="P136" s="17"/>
      <c r="Q136" s="17"/>
      <c r="R136" s="17">
        <v>1400</v>
      </c>
      <c r="S136" s="58"/>
      <c r="T136" s="59">
        <f t="shared" si="4"/>
        <v>0</v>
      </c>
      <c r="U136" s="5"/>
      <c r="V136" s="5"/>
      <c r="W136" s="5"/>
      <c r="X136" s="5"/>
      <c r="Y136" s="5"/>
      <c r="Z136" s="60"/>
      <c r="AA136" s="57"/>
      <c r="AB136" s="57"/>
      <c r="AC136" s="57"/>
      <c r="AD136" s="57"/>
      <c r="AE136" s="61"/>
    </row>
    <row r="137" spans="1:31" ht="57" customHeight="1">
      <c r="A137" s="235">
        <v>62</v>
      </c>
      <c r="B137" s="237" t="s">
        <v>170</v>
      </c>
      <c r="C137" s="44" t="s">
        <v>8</v>
      </c>
      <c r="D137" s="187" t="s">
        <v>5</v>
      </c>
      <c r="E137" s="187" t="s">
        <v>5</v>
      </c>
      <c r="F137" s="192">
        <f>500/1000</f>
        <v>0.5</v>
      </c>
      <c r="G137" s="44" t="s">
        <v>175</v>
      </c>
      <c r="H137" s="46">
        <f t="shared" si="3"/>
        <v>3250</v>
      </c>
      <c r="I137" s="46"/>
      <c r="J137" s="46"/>
      <c r="K137" s="46"/>
      <c r="L137" s="46"/>
      <c r="M137" s="46"/>
      <c r="N137" s="46"/>
      <c r="O137" s="22"/>
      <c r="P137" s="22"/>
      <c r="Q137" s="22"/>
      <c r="R137" s="22"/>
      <c r="S137" s="47">
        <v>3250</v>
      </c>
      <c r="T137" s="111">
        <f t="shared" si="4"/>
        <v>0</v>
      </c>
      <c r="U137" s="46"/>
      <c r="V137" s="46"/>
      <c r="W137" s="46"/>
      <c r="X137" s="46"/>
      <c r="Y137" s="46"/>
      <c r="Z137" s="55"/>
      <c r="AA137" s="43"/>
      <c r="AB137" s="43"/>
      <c r="AC137" s="43"/>
      <c r="AD137" s="43"/>
      <c r="AE137" s="49"/>
    </row>
    <row r="138" spans="1:31" ht="38.25" thickBot="1">
      <c r="A138" s="236"/>
      <c r="B138" s="238"/>
      <c r="C138" s="18" t="s">
        <v>68</v>
      </c>
      <c r="D138" s="188"/>
      <c r="E138" s="188"/>
      <c r="F138" s="194"/>
      <c r="G138" s="18" t="s">
        <v>76</v>
      </c>
      <c r="H138" s="19">
        <f t="shared" si="3"/>
        <v>500</v>
      </c>
      <c r="I138" s="5"/>
      <c r="J138" s="5"/>
      <c r="K138" s="5"/>
      <c r="L138" s="5"/>
      <c r="M138" s="5"/>
      <c r="N138" s="5"/>
      <c r="O138" s="17"/>
      <c r="P138" s="17"/>
      <c r="Q138" s="17"/>
      <c r="R138" s="17">
        <v>500</v>
      </c>
      <c r="S138" s="58"/>
      <c r="T138" s="59">
        <f t="shared" si="4"/>
        <v>0</v>
      </c>
      <c r="U138" s="5"/>
      <c r="V138" s="5"/>
      <c r="W138" s="5"/>
      <c r="X138" s="5"/>
      <c r="Y138" s="5"/>
      <c r="Z138" s="60"/>
      <c r="AA138" s="57"/>
      <c r="AB138" s="57"/>
      <c r="AC138" s="57"/>
      <c r="AD138" s="57"/>
      <c r="AE138" s="61"/>
    </row>
    <row r="139" spans="1:31" ht="37.5">
      <c r="A139" s="235">
        <f>A137+1</f>
        <v>63</v>
      </c>
      <c r="B139" s="237" t="s">
        <v>171</v>
      </c>
      <c r="C139" s="44" t="s">
        <v>68</v>
      </c>
      <c r="D139" s="187" t="s">
        <v>5</v>
      </c>
      <c r="E139" s="187" t="s">
        <v>5</v>
      </c>
      <c r="F139" s="192">
        <f>2100/1000</f>
        <v>2.1</v>
      </c>
      <c r="G139" s="44" t="s">
        <v>76</v>
      </c>
      <c r="H139" s="46">
        <f t="shared" si="3"/>
        <v>1470</v>
      </c>
      <c r="I139" s="46"/>
      <c r="J139" s="46"/>
      <c r="K139" s="46"/>
      <c r="L139" s="46"/>
      <c r="M139" s="46"/>
      <c r="N139" s="46"/>
      <c r="O139" s="22"/>
      <c r="P139" s="22"/>
      <c r="Q139" s="22"/>
      <c r="R139" s="22">
        <v>1470</v>
      </c>
      <c r="S139" s="47"/>
      <c r="T139" s="111">
        <f t="shared" si="4"/>
        <v>0</v>
      </c>
      <c r="U139" s="46"/>
      <c r="V139" s="46"/>
      <c r="W139" s="46"/>
      <c r="X139" s="46"/>
      <c r="Y139" s="46"/>
      <c r="Z139" s="55"/>
      <c r="AA139" s="43"/>
      <c r="AB139" s="43"/>
      <c r="AC139" s="43"/>
      <c r="AD139" s="43"/>
      <c r="AE139" s="49"/>
    </row>
    <row r="140" spans="1:31" ht="38.25" thickBot="1">
      <c r="A140" s="236"/>
      <c r="B140" s="238"/>
      <c r="C140" s="18" t="s">
        <v>8</v>
      </c>
      <c r="D140" s="188"/>
      <c r="E140" s="188"/>
      <c r="F140" s="194"/>
      <c r="G140" s="18" t="s">
        <v>175</v>
      </c>
      <c r="H140" s="5">
        <f t="shared" si="3"/>
        <v>14700</v>
      </c>
      <c r="I140" s="5"/>
      <c r="J140" s="5"/>
      <c r="K140" s="5"/>
      <c r="L140" s="5"/>
      <c r="M140" s="5"/>
      <c r="N140" s="5"/>
      <c r="O140" s="17"/>
      <c r="P140" s="17"/>
      <c r="Q140" s="17"/>
      <c r="R140" s="17"/>
      <c r="S140" s="58">
        <v>14700</v>
      </c>
      <c r="T140" s="59">
        <f t="shared" si="4"/>
        <v>0</v>
      </c>
      <c r="U140" s="5"/>
      <c r="V140" s="5"/>
      <c r="W140" s="5"/>
      <c r="X140" s="5"/>
      <c r="Y140" s="5"/>
      <c r="Z140" s="60"/>
      <c r="AA140" s="57"/>
      <c r="AB140" s="57"/>
      <c r="AC140" s="57"/>
      <c r="AD140" s="57"/>
      <c r="AE140" s="61"/>
    </row>
    <row r="141" spans="1:31" ht="37.5">
      <c r="A141" s="235">
        <f>A139+1</f>
        <v>64</v>
      </c>
      <c r="B141" s="237" t="s">
        <v>172</v>
      </c>
      <c r="C141" s="44" t="s">
        <v>68</v>
      </c>
      <c r="D141" s="187" t="s">
        <v>5</v>
      </c>
      <c r="E141" s="187" t="s">
        <v>5</v>
      </c>
      <c r="F141" s="192">
        <f>5000/1000</f>
        <v>5</v>
      </c>
      <c r="G141" s="44" t="s">
        <v>76</v>
      </c>
      <c r="H141" s="46">
        <f t="shared" si="3"/>
        <v>3500</v>
      </c>
      <c r="I141" s="46"/>
      <c r="J141" s="46"/>
      <c r="K141" s="46"/>
      <c r="L141" s="46"/>
      <c r="M141" s="46"/>
      <c r="N141" s="46"/>
      <c r="O141" s="22"/>
      <c r="P141" s="22"/>
      <c r="Q141" s="22"/>
      <c r="R141" s="22">
        <v>3500</v>
      </c>
      <c r="S141" s="47"/>
      <c r="T141" s="111">
        <f t="shared" si="4"/>
        <v>0</v>
      </c>
      <c r="U141" s="46"/>
      <c r="V141" s="46"/>
      <c r="W141" s="46"/>
      <c r="X141" s="46"/>
      <c r="Y141" s="46"/>
      <c r="Z141" s="55"/>
      <c r="AA141" s="43"/>
      <c r="AB141" s="43"/>
      <c r="AC141" s="43"/>
      <c r="AD141" s="43"/>
      <c r="AE141" s="49"/>
    </row>
    <row r="142" spans="1:31" ht="38.25" thickBot="1">
      <c r="A142" s="236"/>
      <c r="B142" s="238"/>
      <c r="C142" s="18" t="s">
        <v>8</v>
      </c>
      <c r="D142" s="188"/>
      <c r="E142" s="188"/>
      <c r="F142" s="194"/>
      <c r="G142" s="18" t="s">
        <v>175</v>
      </c>
      <c r="H142" s="5">
        <f t="shared" si="3"/>
        <v>35000</v>
      </c>
      <c r="I142" s="5"/>
      <c r="J142" s="5"/>
      <c r="K142" s="5"/>
      <c r="L142" s="5"/>
      <c r="M142" s="5"/>
      <c r="N142" s="5"/>
      <c r="O142" s="17"/>
      <c r="P142" s="17"/>
      <c r="Q142" s="17"/>
      <c r="R142" s="17"/>
      <c r="S142" s="58">
        <v>35000</v>
      </c>
      <c r="T142" s="59">
        <f t="shared" si="4"/>
        <v>0</v>
      </c>
      <c r="U142" s="5"/>
      <c r="V142" s="5"/>
      <c r="W142" s="5"/>
      <c r="X142" s="5"/>
      <c r="Y142" s="5"/>
      <c r="Z142" s="60"/>
      <c r="AA142" s="57"/>
      <c r="AB142" s="57"/>
      <c r="AC142" s="57"/>
      <c r="AD142" s="57"/>
      <c r="AE142" s="61"/>
    </row>
    <row r="143" spans="1:31" ht="37.5">
      <c r="A143" s="235">
        <f>A141+1</f>
        <v>65</v>
      </c>
      <c r="B143" s="237" t="s">
        <v>173</v>
      </c>
      <c r="C143" s="44" t="s">
        <v>68</v>
      </c>
      <c r="D143" s="187" t="s">
        <v>5</v>
      </c>
      <c r="E143" s="187" t="s">
        <v>5</v>
      </c>
      <c r="F143" s="192">
        <f>300/1000</f>
        <v>0.3</v>
      </c>
      <c r="G143" s="44" t="s">
        <v>76</v>
      </c>
      <c r="H143" s="46">
        <f t="shared" si="3"/>
        <v>97.5</v>
      </c>
      <c r="I143" s="46"/>
      <c r="J143" s="46"/>
      <c r="K143" s="46"/>
      <c r="L143" s="46"/>
      <c r="M143" s="46"/>
      <c r="N143" s="46"/>
      <c r="O143" s="22"/>
      <c r="P143" s="22"/>
      <c r="Q143" s="22"/>
      <c r="R143" s="22">
        <v>97.5</v>
      </c>
      <c r="S143" s="47"/>
      <c r="T143" s="111">
        <f t="shared" si="4"/>
        <v>0</v>
      </c>
      <c r="U143" s="46"/>
      <c r="V143" s="46"/>
      <c r="W143" s="46"/>
      <c r="X143" s="46"/>
      <c r="Y143" s="46"/>
      <c r="Z143" s="55"/>
      <c r="AA143" s="43"/>
      <c r="AB143" s="43"/>
      <c r="AC143" s="43"/>
      <c r="AD143" s="43"/>
      <c r="AE143" s="49"/>
    </row>
    <row r="144" spans="1:31" ht="38.25" thickBot="1">
      <c r="A144" s="236"/>
      <c r="B144" s="238"/>
      <c r="C144" s="18" t="s">
        <v>8</v>
      </c>
      <c r="D144" s="188"/>
      <c r="E144" s="188"/>
      <c r="F144" s="194"/>
      <c r="G144" s="18" t="s">
        <v>175</v>
      </c>
      <c r="H144" s="5">
        <f t="shared" si="3"/>
        <v>1950</v>
      </c>
      <c r="I144" s="5"/>
      <c r="J144" s="5"/>
      <c r="K144" s="5"/>
      <c r="L144" s="5"/>
      <c r="M144" s="5"/>
      <c r="N144" s="5"/>
      <c r="O144" s="17"/>
      <c r="P144" s="17"/>
      <c r="Q144" s="17"/>
      <c r="R144" s="17"/>
      <c r="S144" s="58">
        <v>1950</v>
      </c>
      <c r="T144" s="59">
        <f t="shared" si="4"/>
        <v>0</v>
      </c>
      <c r="U144" s="5"/>
      <c r="V144" s="5"/>
      <c r="W144" s="5"/>
      <c r="X144" s="5"/>
      <c r="Y144" s="5"/>
      <c r="Z144" s="60"/>
      <c r="AA144" s="57"/>
      <c r="AB144" s="57"/>
      <c r="AC144" s="57"/>
      <c r="AD144" s="57"/>
      <c r="AE144" s="61"/>
    </row>
    <row r="145" spans="1:31" ht="37.5">
      <c r="A145" s="235">
        <f>A143+1</f>
        <v>66</v>
      </c>
      <c r="B145" s="237" t="s">
        <v>174</v>
      </c>
      <c r="C145" s="44" t="s">
        <v>68</v>
      </c>
      <c r="D145" s="187" t="s">
        <v>5</v>
      </c>
      <c r="E145" s="187" t="s">
        <v>5</v>
      </c>
      <c r="F145" s="192">
        <f>210/1000</f>
        <v>0.21</v>
      </c>
      <c r="G145" s="44" t="s">
        <v>76</v>
      </c>
      <c r="H145" s="46">
        <f t="shared" si="3"/>
        <v>83.1</v>
      </c>
      <c r="I145" s="46"/>
      <c r="J145" s="46"/>
      <c r="K145" s="46"/>
      <c r="L145" s="46"/>
      <c r="M145" s="46"/>
      <c r="N145" s="46"/>
      <c r="O145" s="22"/>
      <c r="P145" s="22"/>
      <c r="Q145" s="22"/>
      <c r="R145" s="22">
        <v>83.1</v>
      </c>
      <c r="S145" s="47"/>
      <c r="T145" s="111">
        <f t="shared" si="4"/>
        <v>0</v>
      </c>
      <c r="U145" s="46"/>
      <c r="V145" s="46"/>
      <c r="W145" s="46"/>
      <c r="X145" s="46"/>
      <c r="Y145" s="46"/>
      <c r="Z145" s="55"/>
      <c r="AA145" s="43"/>
      <c r="AB145" s="43"/>
      <c r="AC145" s="43"/>
      <c r="AD145" s="43"/>
      <c r="AE145" s="49"/>
    </row>
    <row r="146" spans="1:31" ht="38.25" thickBot="1">
      <c r="A146" s="236"/>
      <c r="B146" s="238"/>
      <c r="C146" s="18" t="s">
        <v>8</v>
      </c>
      <c r="D146" s="188"/>
      <c r="E146" s="188"/>
      <c r="F146" s="194"/>
      <c r="G146" s="18" t="s">
        <v>175</v>
      </c>
      <c r="H146" s="5">
        <f t="shared" si="3"/>
        <v>1879.6</v>
      </c>
      <c r="I146" s="5"/>
      <c r="J146" s="5"/>
      <c r="K146" s="5"/>
      <c r="L146" s="5"/>
      <c r="M146" s="5"/>
      <c r="N146" s="5"/>
      <c r="O146" s="17"/>
      <c r="P146" s="17"/>
      <c r="Q146" s="17"/>
      <c r="R146" s="17"/>
      <c r="S146" s="58">
        <v>1879.6</v>
      </c>
      <c r="T146" s="59">
        <f t="shared" si="4"/>
        <v>0</v>
      </c>
      <c r="U146" s="5"/>
      <c r="V146" s="5"/>
      <c r="W146" s="5"/>
      <c r="X146" s="5"/>
      <c r="Y146" s="5"/>
      <c r="Z146" s="60"/>
      <c r="AA146" s="57"/>
      <c r="AB146" s="57"/>
      <c r="AC146" s="57"/>
      <c r="AD146" s="57"/>
      <c r="AE146" s="61"/>
    </row>
    <row r="147" spans="1:31" s="100" customFormat="1" ht="37.5">
      <c r="A147" s="235">
        <f>A145+1</f>
        <v>67</v>
      </c>
      <c r="B147" s="237" t="s">
        <v>176</v>
      </c>
      <c r="C147" s="44" t="s">
        <v>68</v>
      </c>
      <c r="D147" s="187" t="s">
        <v>5</v>
      </c>
      <c r="E147" s="187" t="s">
        <v>5</v>
      </c>
      <c r="F147" s="192">
        <f>1300/1000</f>
        <v>1.3</v>
      </c>
      <c r="G147" s="7" t="s">
        <v>76</v>
      </c>
      <c r="H147" s="11">
        <f t="shared" si="3"/>
        <v>422.5</v>
      </c>
      <c r="I147" s="11"/>
      <c r="J147" s="11"/>
      <c r="K147" s="11"/>
      <c r="L147" s="11"/>
      <c r="M147" s="11"/>
      <c r="N147" s="11"/>
      <c r="O147" s="25"/>
      <c r="P147" s="25"/>
      <c r="Q147" s="25"/>
      <c r="R147" s="25">
        <v>422.5</v>
      </c>
      <c r="S147" s="72"/>
      <c r="T147" s="111">
        <f t="shared" si="4"/>
        <v>0</v>
      </c>
      <c r="U147" s="11"/>
      <c r="V147" s="11"/>
      <c r="W147" s="11"/>
      <c r="X147" s="11"/>
      <c r="Y147" s="11"/>
      <c r="Z147" s="74"/>
      <c r="AA147" s="70"/>
      <c r="AB147" s="70"/>
      <c r="AC147" s="70"/>
      <c r="AD147" s="70"/>
      <c r="AE147" s="75"/>
    </row>
    <row r="148" spans="1:31" ht="38.25" thickBot="1">
      <c r="A148" s="236"/>
      <c r="B148" s="238"/>
      <c r="C148" s="18" t="s">
        <v>8</v>
      </c>
      <c r="D148" s="188"/>
      <c r="E148" s="188"/>
      <c r="F148" s="194"/>
      <c r="G148" s="18" t="s">
        <v>175</v>
      </c>
      <c r="H148" s="5">
        <f t="shared" si="3"/>
        <v>8450</v>
      </c>
      <c r="I148" s="5"/>
      <c r="J148" s="5"/>
      <c r="K148" s="5"/>
      <c r="L148" s="5"/>
      <c r="M148" s="5"/>
      <c r="N148" s="5"/>
      <c r="O148" s="17"/>
      <c r="P148" s="17"/>
      <c r="Q148" s="17"/>
      <c r="R148" s="17"/>
      <c r="S148" s="58">
        <v>8450</v>
      </c>
      <c r="T148" s="59">
        <f t="shared" si="4"/>
        <v>0</v>
      </c>
      <c r="U148" s="5"/>
      <c r="V148" s="5"/>
      <c r="W148" s="5"/>
      <c r="X148" s="5"/>
      <c r="Y148" s="5"/>
      <c r="Z148" s="60"/>
      <c r="AA148" s="57"/>
      <c r="AB148" s="57"/>
      <c r="AC148" s="57"/>
      <c r="AD148" s="57"/>
      <c r="AE148" s="61"/>
    </row>
    <row r="149" spans="1:31" s="100" customFormat="1" ht="37.5">
      <c r="A149" s="235">
        <f>A147+1</f>
        <v>68</v>
      </c>
      <c r="B149" s="237" t="s">
        <v>177</v>
      </c>
      <c r="C149" s="44" t="s">
        <v>68</v>
      </c>
      <c r="D149" s="187" t="s">
        <v>5</v>
      </c>
      <c r="E149" s="187" t="s">
        <v>5</v>
      </c>
      <c r="F149" s="192">
        <f>1700/1000</f>
        <v>1.7</v>
      </c>
      <c r="G149" s="7" t="s">
        <v>76</v>
      </c>
      <c r="H149" s="11">
        <f t="shared" si="3"/>
        <v>1760</v>
      </c>
      <c r="I149" s="11"/>
      <c r="J149" s="11"/>
      <c r="K149" s="11"/>
      <c r="L149" s="11"/>
      <c r="M149" s="11"/>
      <c r="N149" s="11"/>
      <c r="O149" s="25"/>
      <c r="P149" s="25"/>
      <c r="Q149" s="25"/>
      <c r="R149" s="25">
        <v>1760</v>
      </c>
      <c r="S149" s="72"/>
      <c r="T149" s="111">
        <f t="shared" si="4"/>
        <v>0</v>
      </c>
      <c r="U149" s="11"/>
      <c r="V149" s="11"/>
      <c r="W149" s="11"/>
      <c r="X149" s="11"/>
      <c r="Y149" s="11"/>
      <c r="Z149" s="74"/>
      <c r="AA149" s="70"/>
      <c r="AB149" s="70"/>
      <c r="AC149" s="70"/>
      <c r="AD149" s="70"/>
      <c r="AE149" s="75"/>
    </row>
    <row r="150" spans="1:31" ht="38.25" thickBot="1">
      <c r="A150" s="236"/>
      <c r="B150" s="238"/>
      <c r="C150" s="18" t="s">
        <v>8</v>
      </c>
      <c r="D150" s="188"/>
      <c r="E150" s="188"/>
      <c r="F150" s="194"/>
      <c r="G150" s="18" t="s">
        <v>175</v>
      </c>
      <c r="H150" s="5">
        <f t="shared" si="3"/>
        <v>11515</v>
      </c>
      <c r="I150" s="5"/>
      <c r="J150" s="5"/>
      <c r="K150" s="5"/>
      <c r="L150" s="5"/>
      <c r="M150" s="5"/>
      <c r="N150" s="5"/>
      <c r="O150" s="17"/>
      <c r="P150" s="17"/>
      <c r="Q150" s="17"/>
      <c r="R150" s="17"/>
      <c r="S150" s="58">
        <v>11515</v>
      </c>
      <c r="T150" s="59">
        <f t="shared" si="4"/>
        <v>0</v>
      </c>
      <c r="U150" s="5"/>
      <c r="V150" s="5"/>
      <c r="W150" s="5"/>
      <c r="X150" s="5"/>
      <c r="Y150" s="5"/>
      <c r="Z150" s="60"/>
      <c r="AA150" s="57"/>
      <c r="AB150" s="57"/>
      <c r="AC150" s="57"/>
      <c r="AD150" s="57"/>
      <c r="AE150" s="61"/>
    </row>
    <row r="151" spans="1:31" s="100" customFormat="1" ht="37.5">
      <c r="A151" s="235">
        <f>A149+1</f>
        <v>69</v>
      </c>
      <c r="B151" s="237" t="s">
        <v>178</v>
      </c>
      <c r="C151" s="44" t="s">
        <v>68</v>
      </c>
      <c r="D151" s="187" t="s">
        <v>5</v>
      </c>
      <c r="E151" s="187" t="s">
        <v>5</v>
      </c>
      <c r="F151" s="192">
        <f>1300/1000</f>
        <v>1.3</v>
      </c>
      <c r="G151" s="7" t="s">
        <v>339</v>
      </c>
      <c r="H151" s="11">
        <f t="shared" si="3"/>
        <v>422.5</v>
      </c>
      <c r="I151" s="11"/>
      <c r="J151" s="11"/>
      <c r="K151" s="11"/>
      <c r="L151" s="11"/>
      <c r="M151" s="11"/>
      <c r="N151" s="11"/>
      <c r="O151" s="25"/>
      <c r="P151" s="25"/>
      <c r="Q151" s="25">
        <v>422.5</v>
      </c>
      <c r="R151" s="25"/>
      <c r="S151" s="72"/>
      <c r="T151" s="111">
        <f t="shared" si="4"/>
        <v>0</v>
      </c>
      <c r="U151" s="11"/>
      <c r="V151" s="11"/>
      <c r="W151" s="11"/>
      <c r="X151" s="11"/>
      <c r="Y151" s="11"/>
      <c r="Z151" s="74"/>
      <c r="AA151" s="70"/>
      <c r="AB151" s="70"/>
      <c r="AC151" s="70"/>
      <c r="AD151" s="70"/>
      <c r="AE151" s="75"/>
    </row>
    <row r="152" spans="1:31" ht="38.25" thickBot="1">
      <c r="A152" s="236"/>
      <c r="B152" s="238"/>
      <c r="C152" s="18" t="s">
        <v>8</v>
      </c>
      <c r="D152" s="188"/>
      <c r="E152" s="188"/>
      <c r="F152" s="194"/>
      <c r="G152" s="18" t="s">
        <v>164</v>
      </c>
      <c r="H152" s="5">
        <f t="shared" si="3"/>
        <v>8450</v>
      </c>
      <c r="I152" s="5"/>
      <c r="J152" s="5"/>
      <c r="K152" s="5"/>
      <c r="L152" s="5"/>
      <c r="M152" s="5"/>
      <c r="N152" s="5"/>
      <c r="O152" s="17"/>
      <c r="P152" s="17"/>
      <c r="Q152" s="17"/>
      <c r="R152" s="17">
        <v>8450</v>
      </c>
      <c r="S152" s="58"/>
      <c r="T152" s="59">
        <f t="shared" si="4"/>
        <v>0</v>
      </c>
      <c r="U152" s="5"/>
      <c r="V152" s="5"/>
      <c r="W152" s="5"/>
      <c r="X152" s="5"/>
      <c r="Y152" s="5"/>
      <c r="Z152" s="60"/>
      <c r="AA152" s="57"/>
      <c r="AB152" s="57"/>
      <c r="AC152" s="57"/>
      <c r="AD152" s="57"/>
      <c r="AE152" s="61"/>
    </row>
    <row r="153" spans="1:31" s="100" customFormat="1" ht="37.5">
      <c r="A153" s="235">
        <f>A151+1</f>
        <v>70</v>
      </c>
      <c r="B153" s="237" t="s">
        <v>179</v>
      </c>
      <c r="C153" s="44" t="s">
        <v>68</v>
      </c>
      <c r="D153" s="187" t="s">
        <v>5</v>
      </c>
      <c r="E153" s="187" t="s">
        <v>5</v>
      </c>
      <c r="F153" s="192">
        <f>700/1000</f>
        <v>0.7</v>
      </c>
      <c r="G153" s="7" t="s">
        <v>336</v>
      </c>
      <c r="H153" s="11">
        <f t="shared" si="3"/>
        <v>227.5</v>
      </c>
      <c r="I153" s="11"/>
      <c r="J153" s="11"/>
      <c r="K153" s="11"/>
      <c r="L153" s="11"/>
      <c r="M153" s="11"/>
      <c r="N153" s="11"/>
      <c r="O153" s="25"/>
      <c r="P153" s="25"/>
      <c r="Q153" s="25"/>
      <c r="R153" s="25">
        <v>227.5</v>
      </c>
      <c r="S153" s="72"/>
      <c r="T153" s="111">
        <f t="shared" si="4"/>
        <v>0</v>
      </c>
      <c r="U153" s="11"/>
      <c r="V153" s="11"/>
      <c r="W153" s="11"/>
      <c r="X153" s="11"/>
      <c r="Y153" s="11"/>
      <c r="Z153" s="74"/>
      <c r="AA153" s="70"/>
      <c r="AB153" s="70"/>
      <c r="AC153" s="70"/>
      <c r="AD153" s="70"/>
      <c r="AE153" s="75"/>
    </row>
    <row r="154" spans="1:31" ht="38.25" thickBot="1">
      <c r="A154" s="236"/>
      <c r="B154" s="238"/>
      <c r="C154" s="18" t="s">
        <v>8</v>
      </c>
      <c r="D154" s="188"/>
      <c r="E154" s="188"/>
      <c r="F154" s="194"/>
      <c r="G154" s="18" t="s">
        <v>175</v>
      </c>
      <c r="H154" s="5">
        <f t="shared" si="3"/>
        <v>4550</v>
      </c>
      <c r="I154" s="5"/>
      <c r="J154" s="5"/>
      <c r="K154" s="5"/>
      <c r="L154" s="5"/>
      <c r="M154" s="5"/>
      <c r="N154" s="5"/>
      <c r="O154" s="17"/>
      <c r="P154" s="17"/>
      <c r="Q154" s="17"/>
      <c r="R154" s="17"/>
      <c r="S154" s="58">
        <v>4550</v>
      </c>
      <c r="T154" s="59">
        <f t="shared" si="4"/>
        <v>0</v>
      </c>
      <c r="U154" s="5"/>
      <c r="V154" s="5"/>
      <c r="W154" s="5"/>
      <c r="X154" s="5"/>
      <c r="Y154" s="5"/>
      <c r="Z154" s="60"/>
      <c r="AA154" s="57"/>
      <c r="AB154" s="57"/>
      <c r="AC154" s="57"/>
      <c r="AD154" s="57"/>
      <c r="AE154" s="61"/>
    </row>
    <row r="155" spans="1:31" s="100" customFormat="1" ht="37.5">
      <c r="A155" s="235">
        <f>A153+1</f>
        <v>71</v>
      </c>
      <c r="B155" s="237" t="s">
        <v>180</v>
      </c>
      <c r="C155" s="44" t="s">
        <v>68</v>
      </c>
      <c r="D155" s="187" t="s">
        <v>5</v>
      </c>
      <c r="E155" s="187" t="s">
        <v>5</v>
      </c>
      <c r="F155" s="192">
        <f>4500/1000</f>
        <v>4.5</v>
      </c>
      <c r="G155" s="7" t="s">
        <v>337</v>
      </c>
      <c r="H155" s="11">
        <f t="shared" si="3"/>
        <v>3500</v>
      </c>
      <c r="I155" s="11"/>
      <c r="J155" s="11"/>
      <c r="K155" s="11"/>
      <c r="L155" s="11"/>
      <c r="M155" s="11"/>
      <c r="N155" s="11"/>
      <c r="O155" s="25"/>
      <c r="P155" s="25"/>
      <c r="Q155" s="25">
        <v>3500</v>
      </c>
      <c r="R155" s="25"/>
      <c r="S155" s="72"/>
      <c r="T155" s="111">
        <f t="shared" si="4"/>
        <v>0</v>
      </c>
      <c r="U155" s="11"/>
      <c r="V155" s="11"/>
      <c r="W155" s="11"/>
      <c r="X155" s="11"/>
      <c r="Y155" s="11"/>
      <c r="Z155" s="74"/>
      <c r="AA155" s="70"/>
      <c r="AB155" s="70"/>
      <c r="AC155" s="70"/>
      <c r="AD155" s="70"/>
      <c r="AE155" s="75"/>
    </row>
    <row r="156" spans="1:31" ht="142.5" customHeight="1" thickBot="1">
      <c r="A156" s="236"/>
      <c r="B156" s="238"/>
      <c r="C156" s="18" t="s">
        <v>8</v>
      </c>
      <c r="D156" s="188"/>
      <c r="E156" s="188"/>
      <c r="F156" s="194"/>
      <c r="G156" s="18" t="s">
        <v>164</v>
      </c>
      <c r="H156" s="5">
        <f t="shared" si="3"/>
        <v>29250</v>
      </c>
      <c r="I156" s="5"/>
      <c r="J156" s="5"/>
      <c r="K156" s="5"/>
      <c r="L156" s="5"/>
      <c r="M156" s="5"/>
      <c r="N156" s="5"/>
      <c r="O156" s="17"/>
      <c r="P156" s="17"/>
      <c r="Q156" s="17"/>
      <c r="R156" s="17">
        <v>29250</v>
      </c>
      <c r="S156" s="58"/>
      <c r="T156" s="59">
        <f t="shared" si="4"/>
        <v>0</v>
      </c>
      <c r="U156" s="5"/>
      <c r="V156" s="5"/>
      <c r="W156" s="5"/>
      <c r="X156" s="5"/>
      <c r="Y156" s="5"/>
      <c r="Z156" s="60"/>
      <c r="AA156" s="57"/>
      <c r="AB156" s="57"/>
      <c r="AC156" s="57"/>
      <c r="AD156" s="57"/>
      <c r="AE156" s="61"/>
    </row>
    <row r="157" spans="1:31" s="100" customFormat="1" ht="53.25" customHeight="1">
      <c r="A157" s="235">
        <f>A155+1</f>
        <v>72</v>
      </c>
      <c r="B157" s="237" t="s">
        <v>181</v>
      </c>
      <c r="C157" s="44" t="s">
        <v>68</v>
      </c>
      <c r="D157" s="187" t="s">
        <v>5</v>
      </c>
      <c r="E157" s="187" t="s">
        <v>5</v>
      </c>
      <c r="F157" s="192">
        <f>3000/1000</f>
        <v>3</v>
      </c>
      <c r="G157" s="7" t="s">
        <v>76</v>
      </c>
      <c r="H157" s="11">
        <f t="shared" si="3"/>
        <v>1200</v>
      </c>
      <c r="I157" s="11"/>
      <c r="J157" s="11"/>
      <c r="K157" s="11"/>
      <c r="L157" s="11"/>
      <c r="M157" s="11"/>
      <c r="N157" s="11"/>
      <c r="O157" s="25"/>
      <c r="P157" s="25"/>
      <c r="Q157" s="25">
        <v>1200</v>
      </c>
      <c r="R157" s="25"/>
      <c r="S157" s="72"/>
      <c r="T157" s="111">
        <f t="shared" si="4"/>
        <v>0</v>
      </c>
      <c r="U157" s="11"/>
      <c r="V157" s="11"/>
      <c r="W157" s="11"/>
      <c r="X157" s="11"/>
      <c r="Y157" s="11"/>
      <c r="Z157" s="74"/>
      <c r="AA157" s="70"/>
      <c r="AB157" s="70"/>
      <c r="AC157" s="70"/>
      <c r="AD157" s="70"/>
      <c r="AE157" s="75"/>
    </row>
    <row r="158" spans="1:31" ht="38.25" thickBot="1">
      <c r="A158" s="236"/>
      <c r="B158" s="238"/>
      <c r="C158" s="18" t="s">
        <v>8</v>
      </c>
      <c r="D158" s="188"/>
      <c r="E158" s="188"/>
      <c r="F158" s="194"/>
      <c r="G158" s="18" t="s">
        <v>164</v>
      </c>
      <c r="H158" s="5">
        <f t="shared" si="3"/>
        <v>21000</v>
      </c>
      <c r="I158" s="5"/>
      <c r="J158" s="5"/>
      <c r="K158" s="5"/>
      <c r="L158" s="5"/>
      <c r="M158" s="5"/>
      <c r="N158" s="5"/>
      <c r="O158" s="17"/>
      <c r="P158" s="17"/>
      <c r="Q158" s="17"/>
      <c r="R158" s="17">
        <v>21000</v>
      </c>
      <c r="S158" s="58"/>
      <c r="T158" s="59">
        <f t="shared" si="4"/>
        <v>0</v>
      </c>
      <c r="U158" s="5"/>
      <c r="V158" s="5"/>
      <c r="W158" s="5"/>
      <c r="X158" s="5"/>
      <c r="Y158" s="5"/>
      <c r="Z158" s="60"/>
      <c r="AA158" s="57"/>
      <c r="AB158" s="57"/>
      <c r="AC158" s="57"/>
      <c r="AD158" s="57"/>
      <c r="AE158" s="61"/>
    </row>
    <row r="159" spans="1:31" s="100" customFormat="1" ht="37.5">
      <c r="A159" s="235">
        <f>A157+1</f>
        <v>73</v>
      </c>
      <c r="B159" s="237" t="s">
        <v>182</v>
      </c>
      <c r="C159" s="44" t="s">
        <v>68</v>
      </c>
      <c r="D159" s="187" t="s">
        <v>5</v>
      </c>
      <c r="E159" s="187" t="s">
        <v>5</v>
      </c>
      <c r="F159" s="192">
        <f>1400/1000</f>
        <v>1.4</v>
      </c>
      <c r="G159" s="7" t="s">
        <v>76</v>
      </c>
      <c r="H159" s="11">
        <f t="shared" si="3"/>
        <v>455</v>
      </c>
      <c r="I159" s="11"/>
      <c r="J159" s="11"/>
      <c r="K159" s="11"/>
      <c r="L159" s="11"/>
      <c r="M159" s="11"/>
      <c r="N159" s="11"/>
      <c r="O159" s="25"/>
      <c r="P159" s="25"/>
      <c r="Q159" s="25">
        <v>455</v>
      </c>
      <c r="R159" s="25"/>
      <c r="S159" s="72"/>
      <c r="T159" s="111">
        <f t="shared" si="4"/>
        <v>0</v>
      </c>
      <c r="U159" s="11"/>
      <c r="V159" s="11"/>
      <c r="W159" s="11"/>
      <c r="X159" s="11"/>
      <c r="Y159" s="11"/>
      <c r="Z159" s="74"/>
      <c r="AA159" s="70"/>
      <c r="AB159" s="70"/>
      <c r="AC159" s="70"/>
      <c r="AD159" s="70"/>
      <c r="AE159" s="75"/>
    </row>
    <row r="160" spans="1:31" ht="38.25" thickBot="1">
      <c r="A160" s="236"/>
      <c r="B160" s="238"/>
      <c r="C160" s="18" t="s">
        <v>8</v>
      </c>
      <c r="D160" s="188"/>
      <c r="E160" s="188"/>
      <c r="F160" s="194"/>
      <c r="G160" s="18" t="s">
        <v>164</v>
      </c>
      <c r="H160" s="5">
        <f t="shared" si="3"/>
        <v>9100</v>
      </c>
      <c r="I160" s="5"/>
      <c r="J160" s="5"/>
      <c r="K160" s="5"/>
      <c r="L160" s="5"/>
      <c r="M160" s="5"/>
      <c r="N160" s="5"/>
      <c r="O160" s="17"/>
      <c r="P160" s="17"/>
      <c r="Q160" s="17"/>
      <c r="R160" s="17">
        <v>9100</v>
      </c>
      <c r="S160" s="58"/>
      <c r="T160" s="59">
        <f t="shared" si="4"/>
        <v>0</v>
      </c>
      <c r="U160" s="5"/>
      <c r="V160" s="5"/>
      <c r="W160" s="5"/>
      <c r="X160" s="5"/>
      <c r="Y160" s="5"/>
      <c r="Z160" s="60"/>
      <c r="AA160" s="57"/>
      <c r="AB160" s="57"/>
      <c r="AC160" s="57"/>
      <c r="AD160" s="57"/>
      <c r="AE160" s="61"/>
    </row>
    <row r="161" spans="1:31" s="100" customFormat="1" ht="37.5">
      <c r="A161" s="235">
        <f>A159+1</f>
        <v>74</v>
      </c>
      <c r="B161" s="237" t="s">
        <v>183</v>
      </c>
      <c r="C161" s="44" t="s">
        <v>68</v>
      </c>
      <c r="D161" s="187" t="s">
        <v>5</v>
      </c>
      <c r="E161" s="187" t="s">
        <v>5</v>
      </c>
      <c r="F161" s="192">
        <f>1350/1000</f>
        <v>1.35</v>
      </c>
      <c r="G161" s="7" t="s">
        <v>76</v>
      </c>
      <c r="H161" s="11">
        <f t="shared" si="3"/>
        <v>3195</v>
      </c>
      <c r="I161" s="11"/>
      <c r="J161" s="11"/>
      <c r="K161" s="11"/>
      <c r="L161" s="11"/>
      <c r="M161" s="11"/>
      <c r="N161" s="11"/>
      <c r="O161" s="25"/>
      <c r="P161" s="25"/>
      <c r="Q161" s="25">
        <v>3195</v>
      </c>
      <c r="R161" s="25"/>
      <c r="S161" s="72"/>
      <c r="T161" s="111">
        <f t="shared" si="4"/>
        <v>0</v>
      </c>
      <c r="U161" s="11"/>
      <c r="V161" s="11"/>
      <c r="W161" s="11"/>
      <c r="X161" s="11"/>
      <c r="Y161" s="11"/>
      <c r="Z161" s="74"/>
      <c r="AA161" s="70"/>
      <c r="AB161" s="70"/>
      <c r="AC161" s="70"/>
      <c r="AD161" s="70"/>
      <c r="AE161" s="75"/>
    </row>
    <row r="162" spans="1:31" ht="38.25" thickBot="1">
      <c r="A162" s="236"/>
      <c r="B162" s="238"/>
      <c r="C162" s="18" t="s">
        <v>8</v>
      </c>
      <c r="D162" s="188"/>
      <c r="E162" s="188"/>
      <c r="F162" s="194"/>
      <c r="G162" s="18" t="s">
        <v>164</v>
      </c>
      <c r="H162" s="5">
        <f t="shared" si="3"/>
        <v>21382.5</v>
      </c>
      <c r="I162" s="5"/>
      <c r="J162" s="5"/>
      <c r="K162" s="5"/>
      <c r="L162" s="5"/>
      <c r="M162" s="5"/>
      <c r="N162" s="5"/>
      <c r="O162" s="17"/>
      <c r="P162" s="17"/>
      <c r="Q162" s="17"/>
      <c r="R162" s="17">
        <v>21382.5</v>
      </c>
      <c r="S162" s="58"/>
      <c r="T162" s="59">
        <f t="shared" si="4"/>
        <v>0</v>
      </c>
      <c r="U162" s="5"/>
      <c r="V162" s="5"/>
      <c r="W162" s="5"/>
      <c r="X162" s="5"/>
      <c r="Y162" s="5"/>
      <c r="Z162" s="60"/>
      <c r="AA162" s="57"/>
      <c r="AB162" s="57"/>
      <c r="AC162" s="57"/>
      <c r="AD162" s="57"/>
      <c r="AE162" s="61"/>
    </row>
    <row r="163" spans="1:31" s="100" customFormat="1" ht="37.5">
      <c r="A163" s="235">
        <f>A161+1</f>
        <v>75</v>
      </c>
      <c r="B163" s="237" t="s">
        <v>347</v>
      </c>
      <c r="C163" s="44" t="s">
        <v>68</v>
      </c>
      <c r="D163" s="187" t="s">
        <v>5</v>
      </c>
      <c r="E163" s="187" t="s">
        <v>5</v>
      </c>
      <c r="F163" s="192">
        <f>1400/1000</f>
        <v>1.4</v>
      </c>
      <c r="G163" s="7" t="s">
        <v>76</v>
      </c>
      <c r="H163" s="11">
        <f t="shared" si="3"/>
        <v>1865.6</v>
      </c>
      <c r="I163" s="11"/>
      <c r="J163" s="11"/>
      <c r="K163" s="11"/>
      <c r="L163" s="11"/>
      <c r="M163" s="11"/>
      <c r="N163" s="11"/>
      <c r="O163" s="25">
        <v>1865.6</v>
      </c>
      <c r="P163" s="25"/>
      <c r="Q163" s="25"/>
      <c r="R163" s="25"/>
      <c r="S163" s="72"/>
      <c r="T163" s="111">
        <f t="shared" si="4"/>
        <v>0</v>
      </c>
      <c r="U163" s="11"/>
      <c r="V163" s="11"/>
      <c r="W163" s="11"/>
      <c r="X163" s="11"/>
      <c r="Y163" s="11"/>
      <c r="Z163" s="74"/>
      <c r="AA163" s="70"/>
      <c r="AB163" s="70"/>
      <c r="AC163" s="70"/>
      <c r="AD163" s="70"/>
      <c r="AE163" s="75"/>
    </row>
    <row r="164" spans="1:31" ht="38.25" thickBot="1">
      <c r="A164" s="236"/>
      <c r="B164" s="238"/>
      <c r="C164" s="18" t="s">
        <v>8</v>
      </c>
      <c r="D164" s="188"/>
      <c r="E164" s="188"/>
      <c r="F164" s="194"/>
      <c r="G164" s="18" t="s">
        <v>75</v>
      </c>
      <c r="H164" s="5">
        <f t="shared" si="3"/>
        <v>0</v>
      </c>
      <c r="I164" s="5"/>
      <c r="J164" s="5"/>
      <c r="K164" s="5"/>
      <c r="L164" s="5"/>
      <c r="M164" s="5"/>
      <c r="N164" s="5"/>
      <c r="O164" s="17"/>
      <c r="P164" s="17"/>
      <c r="Q164" s="17"/>
      <c r="R164" s="17"/>
      <c r="S164" s="58"/>
      <c r="T164" s="59">
        <f t="shared" si="4"/>
        <v>0</v>
      </c>
      <c r="U164" s="5"/>
      <c r="V164" s="5"/>
      <c r="W164" s="5"/>
      <c r="X164" s="5"/>
      <c r="Y164" s="5"/>
      <c r="Z164" s="60"/>
      <c r="AA164" s="57"/>
      <c r="AB164" s="57"/>
      <c r="AC164" s="57"/>
      <c r="AD164" s="57"/>
      <c r="AE164" s="61"/>
    </row>
    <row r="165" spans="1:31" s="100" customFormat="1" ht="37.5">
      <c r="A165" s="235">
        <f>A163+1</f>
        <v>76</v>
      </c>
      <c r="B165" s="237" t="s">
        <v>184</v>
      </c>
      <c r="C165" s="44" t="s">
        <v>68</v>
      </c>
      <c r="D165" s="187" t="s">
        <v>5</v>
      </c>
      <c r="E165" s="187" t="s">
        <v>5</v>
      </c>
      <c r="F165" s="192">
        <f>500/1000</f>
        <v>0.5</v>
      </c>
      <c r="G165" s="7" t="s">
        <v>337</v>
      </c>
      <c r="H165" s="11">
        <f t="shared" si="3"/>
        <v>162.5</v>
      </c>
      <c r="I165" s="11"/>
      <c r="J165" s="11"/>
      <c r="K165" s="11"/>
      <c r="L165" s="11"/>
      <c r="M165" s="11"/>
      <c r="N165" s="11"/>
      <c r="O165" s="25"/>
      <c r="P165" s="25"/>
      <c r="Q165" s="25">
        <v>162.5</v>
      </c>
      <c r="R165" s="25"/>
      <c r="S165" s="72"/>
      <c r="T165" s="111">
        <f t="shared" si="4"/>
        <v>0</v>
      </c>
      <c r="U165" s="11"/>
      <c r="V165" s="11"/>
      <c r="W165" s="11"/>
      <c r="X165" s="11"/>
      <c r="Y165" s="11"/>
      <c r="Z165" s="74"/>
      <c r="AA165" s="70"/>
      <c r="AB165" s="70"/>
      <c r="AC165" s="70"/>
      <c r="AD165" s="70"/>
      <c r="AE165" s="75"/>
    </row>
    <row r="166" spans="1:31" ht="38.25" thickBot="1">
      <c r="A166" s="236"/>
      <c r="B166" s="238"/>
      <c r="C166" s="18" t="s">
        <v>8</v>
      </c>
      <c r="D166" s="188"/>
      <c r="E166" s="188"/>
      <c r="F166" s="194"/>
      <c r="G166" s="18" t="s">
        <v>164</v>
      </c>
      <c r="H166" s="5">
        <f t="shared" si="3"/>
        <v>3250</v>
      </c>
      <c r="I166" s="5"/>
      <c r="J166" s="5"/>
      <c r="K166" s="5"/>
      <c r="L166" s="5"/>
      <c r="M166" s="5"/>
      <c r="N166" s="5"/>
      <c r="O166" s="17"/>
      <c r="P166" s="17"/>
      <c r="Q166" s="17"/>
      <c r="R166" s="17">
        <v>3250</v>
      </c>
      <c r="S166" s="58"/>
      <c r="T166" s="59">
        <f t="shared" si="4"/>
        <v>0</v>
      </c>
      <c r="U166" s="5"/>
      <c r="V166" s="5"/>
      <c r="W166" s="5"/>
      <c r="X166" s="5"/>
      <c r="Y166" s="5"/>
      <c r="Z166" s="60"/>
      <c r="AA166" s="57"/>
      <c r="AB166" s="57"/>
      <c r="AC166" s="57"/>
      <c r="AD166" s="57"/>
      <c r="AE166" s="61"/>
    </row>
    <row r="167" spans="1:31" s="100" customFormat="1" ht="37.5">
      <c r="A167" s="235">
        <f>A165+1</f>
        <v>77</v>
      </c>
      <c r="B167" s="237" t="s">
        <v>185</v>
      </c>
      <c r="C167" s="44" t="s">
        <v>68</v>
      </c>
      <c r="D167" s="187" t="s">
        <v>5</v>
      </c>
      <c r="E167" s="187" t="s">
        <v>5</v>
      </c>
      <c r="F167" s="192">
        <f>480/1000</f>
        <v>0.48</v>
      </c>
      <c r="G167" s="7" t="s">
        <v>76</v>
      </c>
      <c r="H167" s="11">
        <f t="shared" si="3"/>
        <v>156</v>
      </c>
      <c r="I167" s="11"/>
      <c r="J167" s="11"/>
      <c r="K167" s="11"/>
      <c r="L167" s="11"/>
      <c r="M167" s="11"/>
      <c r="N167" s="11"/>
      <c r="O167" s="25"/>
      <c r="P167" s="25"/>
      <c r="Q167" s="25">
        <v>156</v>
      </c>
      <c r="R167" s="25"/>
      <c r="S167" s="72"/>
      <c r="T167" s="111">
        <f t="shared" si="4"/>
        <v>0</v>
      </c>
      <c r="U167" s="11"/>
      <c r="V167" s="11"/>
      <c r="W167" s="11"/>
      <c r="X167" s="11"/>
      <c r="Y167" s="11"/>
      <c r="Z167" s="74"/>
      <c r="AA167" s="70"/>
      <c r="AB167" s="70"/>
      <c r="AC167" s="70"/>
      <c r="AD167" s="70"/>
      <c r="AE167" s="75"/>
    </row>
    <row r="168" spans="1:31" ht="38.25" thickBot="1">
      <c r="A168" s="236"/>
      <c r="B168" s="238"/>
      <c r="C168" s="18" t="s">
        <v>8</v>
      </c>
      <c r="D168" s="188"/>
      <c r="E168" s="188"/>
      <c r="F168" s="194"/>
      <c r="G168" s="18" t="s">
        <v>164</v>
      </c>
      <c r="H168" s="5">
        <f t="shared" si="3"/>
        <v>3120</v>
      </c>
      <c r="I168" s="5"/>
      <c r="J168" s="5"/>
      <c r="K168" s="5"/>
      <c r="L168" s="5"/>
      <c r="M168" s="5"/>
      <c r="N168" s="5"/>
      <c r="O168" s="17"/>
      <c r="P168" s="17"/>
      <c r="Q168" s="17"/>
      <c r="R168" s="17">
        <v>3120</v>
      </c>
      <c r="S168" s="58"/>
      <c r="T168" s="59">
        <f t="shared" si="4"/>
        <v>0</v>
      </c>
      <c r="U168" s="5"/>
      <c r="V168" s="5"/>
      <c r="W168" s="5"/>
      <c r="X168" s="5"/>
      <c r="Y168" s="5"/>
      <c r="Z168" s="60"/>
      <c r="AA168" s="57"/>
      <c r="AB168" s="57"/>
      <c r="AC168" s="57"/>
      <c r="AD168" s="57"/>
      <c r="AE168" s="61"/>
    </row>
    <row r="169" spans="1:31" s="100" customFormat="1" ht="37.5">
      <c r="A169" s="235">
        <f>A167+1</f>
        <v>78</v>
      </c>
      <c r="B169" s="237" t="s">
        <v>186</v>
      </c>
      <c r="C169" s="44" t="s">
        <v>68</v>
      </c>
      <c r="D169" s="187" t="s">
        <v>5</v>
      </c>
      <c r="E169" s="187" t="s">
        <v>5</v>
      </c>
      <c r="F169" s="192">
        <f>360/1000</f>
        <v>0.36</v>
      </c>
      <c r="G169" s="7" t="s">
        <v>339</v>
      </c>
      <c r="H169" s="11">
        <f t="shared" si="3"/>
        <v>252</v>
      </c>
      <c r="I169" s="11"/>
      <c r="J169" s="11"/>
      <c r="K169" s="11"/>
      <c r="L169" s="11"/>
      <c r="M169" s="11"/>
      <c r="N169" s="11"/>
      <c r="O169" s="25"/>
      <c r="P169" s="25"/>
      <c r="Q169" s="25">
        <v>252</v>
      </c>
      <c r="R169" s="25"/>
      <c r="S169" s="72"/>
      <c r="T169" s="111">
        <f t="shared" si="4"/>
        <v>0</v>
      </c>
      <c r="U169" s="11"/>
      <c r="V169" s="11"/>
      <c r="W169" s="11"/>
      <c r="X169" s="11"/>
      <c r="Y169" s="11"/>
      <c r="Z169" s="74"/>
      <c r="AA169" s="70"/>
      <c r="AB169" s="70"/>
      <c r="AC169" s="70"/>
      <c r="AD169" s="70"/>
      <c r="AE169" s="75"/>
    </row>
    <row r="170" spans="1:31" ht="38.25" thickBot="1">
      <c r="A170" s="236"/>
      <c r="B170" s="238"/>
      <c r="C170" s="18" t="s">
        <v>8</v>
      </c>
      <c r="D170" s="188"/>
      <c r="E170" s="188"/>
      <c r="F170" s="194"/>
      <c r="G170" s="18" t="s">
        <v>164</v>
      </c>
      <c r="H170" s="5">
        <f t="shared" si="3"/>
        <v>2340</v>
      </c>
      <c r="I170" s="5"/>
      <c r="J170" s="5"/>
      <c r="K170" s="5"/>
      <c r="L170" s="5"/>
      <c r="M170" s="5"/>
      <c r="N170" s="5"/>
      <c r="O170" s="17"/>
      <c r="P170" s="17"/>
      <c r="Q170" s="17"/>
      <c r="R170" s="17">
        <v>2340</v>
      </c>
      <c r="S170" s="58"/>
      <c r="T170" s="59">
        <f t="shared" si="4"/>
        <v>0</v>
      </c>
      <c r="U170" s="5"/>
      <c r="V170" s="5"/>
      <c r="W170" s="5"/>
      <c r="X170" s="5"/>
      <c r="Y170" s="5"/>
      <c r="Z170" s="60"/>
      <c r="AA170" s="57"/>
      <c r="AB170" s="57"/>
      <c r="AC170" s="57"/>
      <c r="AD170" s="57"/>
      <c r="AE170" s="61"/>
    </row>
    <row r="171" spans="1:31" s="100" customFormat="1" ht="36" customHeight="1">
      <c r="A171" s="235">
        <f>A169+1</f>
        <v>79</v>
      </c>
      <c r="B171" s="237" t="s">
        <v>187</v>
      </c>
      <c r="C171" s="44" t="s">
        <v>68</v>
      </c>
      <c r="D171" s="187" t="s">
        <v>5</v>
      </c>
      <c r="E171" s="187" t="s">
        <v>5</v>
      </c>
      <c r="F171" s="192">
        <f>360/1000</f>
        <v>0.36</v>
      </c>
      <c r="G171" s="7" t="s">
        <v>76</v>
      </c>
      <c r="H171" s="11">
        <f t="shared" si="3"/>
        <v>1390</v>
      </c>
      <c r="I171" s="11"/>
      <c r="J171" s="11"/>
      <c r="K171" s="11"/>
      <c r="L171" s="11"/>
      <c r="M171" s="11"/>
      <c r="N171" s="11"/>
      <c r="O171" s="25"/>
      <c r="P171" s="25"/>
      <c r="Q171" s="25"/>
      <c r="R171" s="25">
        <v>1390</v>
      </c>
      <c r="S171" s="72"/>
      <c r="T171" s="111">
        <f t="shared" si="4"/>
        <v>0</v>
      </c>
      <c r="U171" s="11"/>
      <c r="V171" s="11"/>
      <c r="W171" s="11"/>
      <c r="X171" s="11"/>
      <c r="Y171" s="11"/>
      <c r="Z171" s="74"/>
      <c r="AA171" s="70"/>
      <c r="AB171" s="70"/>
      <c r="AC171" s="70"/>
      <c r="AD171" s="70"/>
      <c r="AE171" s="75"/>
    </row>
    <row r="172" spans="1:31" ht="38.25" thickBot="1">
      <c r="A172" s="236"/>
      <c r="B172" s="238"/>
      <c r="C172" s="18" t="s">
        <v>8</v>
      </c>
      <c r="D172" s="188"/>
      <c r="E172" s="188"/>
      <c r="F172" s="194"/>
      <c r="G172" s="18" t="s">
        <v>175</v>
      </c>
      <c r="H172" s="5">
        <f t="shared" si="3"/>
        <v>10000</v>
      </c>
      <c r="I172" s="5"/>
      <c r="J172" s="5"/>
      <c r="K172" s="5"/>
      <c r="L172" s="5"/>
      <c r="M172" s="5"/>
      <c r="N172" s="5"/>
      <c r="O172" s="17"/>
      <c r="P172" s="17"/>
      <c r="Q172" s="17"/>
      <c r="R172" s="17"/>
      <c r="S172" s="58">
        <v>10000</v>
      </c>
      <c r="T172" s="59">
        <f t="shared" si="4"/>
        <v>0</v>
      </c>
      <c r="U172" s="5"/>
      <c r="V172" s="5"/>
      <c r="W172" s="5"/>
      <c r="X172" s="5"/>
      <c r="Y172" s="5"/>
      <c r="Z172" s="60"/>
      <c r="AA172" s="57"/>
      <c r="AB172" s="57"/>
      <c r="AC172" s="57"/>
      <c r="AD172" s="57"/>
      <c r="AE172" s="61"/>
    </row>
    <row r="173" spans="1:31" s="100" customFormat="1" ht="37.5">
      <c r="A173" s="235">
        <f>A171+1</f>
        <v>80</v>
      </c>
      <c r="B173" s="237" t="s">
        <v>188</v>
      </c>
      <c r="C173" s="44" t="s">
        <v>68</v>
      </c>
      <c r="D173" s="187" t="s">
        <v>5</v>
      </c>
      <c r="E173" s="187" t="s">
        <v>5</v>
      </c>
      <c r="F173" s="192">
        <f>400/1000</f>
        <v>0.4</v>
      </c>
      <c r="G173" s="7" t="s">
        <v>339</v>
      </c>
      <c r="H173" s="11">
        <f t="shared" si="3"/>
        <v>130</v>
      </c>
      <c r="I173" s="11"/>
      <c r="J173" s="11"/>
      <c r="K173" s="11"/>
      <c r="L173" s="11"/>
      <c r="M173" s="11"/>
      <c r="N173" s="11"/>
      <c r="O173" s="25"/>
      <c r="P173" s="25"/>
      <c r="Q173" s="25">
        <v>130</v>
      </c>
      <c r="R173" s="25"/>
      <c r="S173" s="72"/>
      <c r="T173" s="111">
        <f aca="true" t="shared" si="5" ref="T173:T236">SUM(U173:AE173)</f>
        <v>0</v>
      </c>
      <c r="U173" s="11"/>
      <c r="V173" s="11"/>
      <c r="W173" s="11"/>
      <c r="X173" s="11"/>
      <c r="Y173" s="11"/>
      <c r="Z173" s="74"/>
      <c r="AA173" s="70"/>
      <c r="AB173" s="70"/>
      <c r="AC173" s="70"/>
      <c r="AD173" s="70"/>
      <c r="AE173" s="75"/>
    </row>
    <row r="174" spans="1:31" ht="38.25" thickBot="1">
      <c r="A174" s="236"/>
      <c r="B174" s="238"/>
      <c r="C174" s="18" t="s">
        <v>8</v>
      </c>
      <c r="D174" s="188"/>
      <c r="E174" s="188"/>
      <c r="F174" s="194"/>
      <c r="G174" s="18" t="s">
        <v>164</v>
      </c>
      <c r="H174" s="5">
        <f t="shared" si="3"/>
        <v>2600</v>
      </c>
      <c r="I174" s="5"/>
      <c r="J174" s="5"/>
      <c r="K174" s="5"/>
      <c r="L174" s="5"/>
      <c r="M174" s="5"/>
      <c r="N174" s="5"/>
      <c r="O174" s="17"/>
      <c r="P174" s="17"/>
      <c r="Q174" s="17"/>
      <c r="R174" s="17">
        <v>2600</v>
      </c>
      <c r="S174" s="58"/>
      <c r="T174" s="59">
        <f t="shared" si="5"/>
        <v>0</v>
      </c>
      <c r="U174" s="5"/>
      <c r="V174" s="5"/>
      <c r="W174" s="5"/>
      <c r="X174" s="5"/>
      <c r="Y174" s="5"/>
      <c r="Z174" s="60"/>
      <c r="AA174" s="57"/>
      <c r="AB174" s="57"/>
      <c r="AC174" s="57"/>
      <c r="AD174" s="57"/>
      <c r="AE174" s="61"/>
    </row>
    <row r="175" spans="1:31" s="100" customFormat="1" ht="37.5">
      <c r="A175" s="235">
        <f>A173+1</f>
        <v>81</v>
      </c>
      <c r="B175" s="237" t="s">
        <v>189</v>
      </c>
      <c r="C175" s="44" t="s">
        <v>68</v>
      </c>
      <c r="D175" s="187" t="s">
        <v>5</v>
      </c>
      <c r="E175" s="187" t="s">
        <v>5</v>
      </c>
      <c r="F175" s="192">
        <f>110/1000</f>
        <v>0.11</v>
      </c>
      <c r="G175" s="7" t="s">
        <v>76</v>
      </c>
      <c r="H175" s="11">
        <f t="shared" si="3"/>
        <v>35.8</v>
      </c>
      <c r="I175" s="11"/>
      <c r="J175" s="11"/>
      <c r="K175" s="11"/>
      <c r="L175" s="11"/>
      <c r="M175" s="11"/>
      <c r="N175" s="11"/>
      <c r="O175" s="25"/>
      <c r="P175" s="25"/>
      <c r="Q175" s="25">
        <v>35.8</v>
      </c>
      <c r="R175" s="25"/>
      <c r="S175" s="72"/>
      <c r="T175" s="111">
        <f t="shared" si="5"/>
        <v>0</v>
      </c>
      <c r="U175" s="11"/>
      <c r="V175" s="11"/>
      <c r="W175" s="11"/>
      <c r="X175" s="11"/>
      <c r="Y175" s="11"/>
      <c r="Z175" s="74"/>
      <c r="AA175" s="70"/>
      <c r="AB175" s="70"/>
      <c r="AC175" s="70"/>
      <c r="AD175" s="70"/>
      <c r="AE175" s="75"/>
    </row>
    <row r="176" spans="1:31" ht="38.25" thickBot="1">
      <c r="A176" s="236"/>
      <c r="B176" s="238"/>
      <c r="C176" s="18" t="s">
        <v>8</v>
      </c>
      <c r="D176" s="188"/>
      <c r="E176" s="188"/>
      <c r="F176" s="194"/>
      <c r="G176" s="18" t="s">
        <v>164</v>
      </c>
      <c r="H176" s="5">
        <f t="shared" si="3"/>
        <v>715</v>
      </c>
      <c r="I176" s="5"/>
      <c r="J176" s="5"/>
      <c r="K176" s="5"/>
      <c r="L176" s="5"/>
      <c r="M176" s="5"/>
      <c r="N176" s="5"/>
      <c r="O176" s="17"/>
      <c r="P176" s="17"/>
      <c r="Q176" s="17"/>
      <c r="R176" s="17">
        <v>715</v>
      </c>
      <c r="S176" s="58"/>
      <c r="T176" s="59">
        <f t="shared" si="5"/>
        <v>0</v>
      </c>
      <c r="U176" s="5"/>
      <c r="V176" s="5"/>
      <c r="W176" s="5"/>
      <c r="X176" s="5"/>
      <c r="Y176" s="5"/>
      <c r="Z176" s="60"/>
      <c r="AA176" s="57"/>
      <c r="AB176" s="57"/>
      <c r="AC176" s="57"/>
      <c r="AD176" s="57"/>
      <c r="AE176" s="61"/>
    </row>
    <row r="177" spans="1:31" s="100" customFormat="1" ht="37.5">
      <c r="A177" s="235">
        <f>A175+1</f>
        <v>82</v>
      </c>
      <c r="B177" s="237" t="s">
        <v>190</v>
      </c>
      <c r="C177" s="44" t="s">
        <v>68</v>
      </c>
      <c r="D177" s="187" t="s">
        <v>5</v>
      </c>
      <c r="E177" s="187" t="s">
        <v>5</v>
      </c>
      <c r="F177" s="192">
        <f>50/1000</f>
        <v>0.05</v>
      </c>
      <c r="G177" s="7" t="s">
        <v>76</v>
      </c>
      <c r="H177" s="11">
        <f t="shared" si="3"/>
        <v>16.3</v>
      </c>
      <c r="I177" s="11"/>
      <c r="J177" s="11"/>
      <c r="K177" s="11"/>
      <c r="L177" s="11"/>
      <c r="M177" s="11"/>
      <c r="N177" s="11"/>
      <c r="O177" s="25"/>
      <c r="P177" s="25"/>
      <c r="Q177" s="25">
        <v>16.3</v>
      </c>
      <c r="R177" s="25"/>
      <c r="S177" s="72"/>
      <c r="T177" s="111">
        <f t="shared" si="5"/>
        <v>0</v>
      </c>
      <c r="U177" s="11"/>
      <c r="V177" s="11"/>
      <c r="W177" s="11"/>
      <c r="X177" s="11"/>
      <c r="Y177" s="11"/>
      <c r="Z177" s="74"/>
      <c r="AA177" s="70"/>
      <c r="AB177" s="70"/>
      <c r="AC177" s="70"/>
      <c r="AD177" s="70"/>
      <c r="AE177" s="75"/>
    </row>
    <row r="178" spans="1:31" ht="38.25" thickBot="1">
      <c r="A178" s="236"/>
      <c r="B178" s="238"/>
      <c r="C178" s="18" t="s">
        <v>8</v>
      </c>
      <c r="D178" s="188"/>
      <c r="E178" s="188"/>
      <c r="F178" s="194"/>
      <c r="G178" s="18" t="s">
        <v>164</v>
      </c>
      <c r="H178" s="5">
        <f t="shared" si="3"/>
        <v>325</v>
      </c>
      <c r="I178" s="5"/>
      <c r="J178" s="5"/>
      <c r="K178" s="5"/>
      <c r="L178" s="5"/>
      <c r="M178" s="5"/>
      <c r="N178" s="5"/>
      <c r="O178" s="17"/>
      <c r="P178" s="17"/>
      <c r="Q178" s="17"/>
      <c r="R178" s="17">
        <v>325</v>
      </c>
      <c r="S178" s="58"/>
      <c r="T178" s="59">
        <f t="shared" si="5"/>
        <v>0</v>
      </c>
      <c r="U178" s="5"/>
      <c r="V178" s="5"/>
      <c r="W178" s="5"/>
      <c r="X178" s="5"/>
      <c r="Y178" s="5"/>
      <c r="Z178" s="60"/>
      <c r="AA178" s="57"/>
      <c r="AB178" s="57"/>
      <c r="AC178" s="57"/>
      <c r="AD178" s="57"/>
      <c r="AE178" s="61"/>
    </row>
    <row r="179" spans="1:31" s="100" customFormat="1" ht="37.5">
      <c r="A179" s="235">
        <f>A177+1</f>
        <v>83</v>
      </c>
      <c r="B179" s="237" t="s">
        <v>191</v>
      </c>
      <c r="C179" s="44" t="s">
        <v>68</v>
      </c>
      <c r="D179" s="187" t="s">
        <v>5</v>
      </c>
      <c r="E179" s="187" t="s">
        <v>5</v>
      </c>
      <c r="F179" s="192">
        <f>240/1000</f>
        <v>0.24</v>
      </c>
      <c r="G179" s="7" t="s">
        <v>337</v>
      </c>
      <c r="H179" s="11">
        <f t="shared" si="3"/>
        <v>78</v>
      </c>
      <c r="I179" s="11"/>
      <c r="J179" s="11"/>
      <c r="K179" s="11"/>
      <c r="L179" s="11"/>
      <c r="M179" s="11"/>
      <c r="N179" s="11"/>
      <c r="O179" s="25"/>
      <c r="P179" s="25"/>
      <c r="Q179" s="25">
        <v>78</v>
      </c>
      <c r="R179" s="25"/>
      <c r="S179" s="72"/>
      <c r="T179" s="111">
        <f t="shared" si="5"/>
        <v>0</v>
      </c>
      <c r="U179" s="11"/>
      <c r="V179" s="11"/>
      <c r="W179" s="11"/>
      <c r="X179" s="11"/>
      <c r="Y179" s="11"/>
      <c r="Z179" s="74"/>
      <c r="AA179" s="70"/>
      <c r="AB179" s="70"/>
      <c r="AC179" s="70"/>
      <c r="AD179" s="70"/>
      <c r="AE179" s="75"/>
    </row>
    <row r="180" spans="1:31" ht="38.25" thickBot="1">
      <c r="A180" s="236"/>
      <c r="B180" s="238"/>
      <c r="C180" s="18" t="s">
        <v>8</v>
      </c>
      <c r="D180" s="188"/>
      <c r="E180" s="188"/>
      <c r="F180" s="194"/>
      <c r="G180" s="18" t="s">
        <v>164</v>
      </c>
      <c r="H180" s="5">
        <f t="shared" si="3"/>
        <v>1560</v>
      </c>
      <c r="I180" s="5"/>
      <c r="J180" s="5"/>
      <c r="K180" s="5"/>
      <c r="L180" s="5"/>
      <c r="M180" s="5"/>
      <c r="N180" s="5"/>
      <c r="O180" s="17"/>
      <c r="P180" s="17"/>
      <c r="Q180" s="17"/>
      <c r="R180" s="17">
        <v>1560</v>
      </c>
      <c r="S180" s="58"/>
      <c r="T180" s="59">
        <f t="shared" si="5"/>
        <v>0</v>
      </c>
      <c r="U180" s="5"/>
      <c r="V180" s="5"/>
      <c r="W180" s="5"/>
      <c r="X180" s="5"/>
      <c r="Y180" s="5"/>
      <c r="Z180" s="60"/>
      <c r="AA180" s="57"/>
      <c r="AB180" s="57"/>
      <c r="AC180" s="57"/>
      <c r="AD180" s="57"/>
      <c r="AE180" s="61"/>
    </row>
    <row r="181" spans="1:31" s="100" customFormat="1" ht="37.5">
      <c r="A181" s="235">
        <f>A179+1</f>
        <v>84</v>
      </c>
      <c r="B181" s="237" t="s">
        <v>192</v>
      </c>
      <c r="C181" s="44" t="s">
        <v>68</v>
      </c>
      <c r="D181" s="187" t="s">
        <v>5</v>
      </c>
      <c r="E181" s="187" t="s">
        <v>5</v>
      </c>
      <c r="F181" s="192">
        <f>240/1000</f>
        <v>0.24</v>
      </c>
      <c r="G181" s="7" t="s">
        <v>76</v>
      </c>
      <c r="H181" s="11">
        <f t="shared" si="3"/>
        <v>78</v>
      </c>
      <c r="I181" s="11"/>
      <c r="J181" s="11"/>
      <c r="K181" s="11"/>
      <c r="L181" s="11"/>
      <c r="M181" s="11"/>
      <c r="N181" s="11"/>
      <c r="O181" s="25"/>
      <c r="P181" s="25"/>
      <c r="Q181" s="25">
        <v>78</v>
      </c>
      <c r="R181" s="25"/>
      <c r="S181" s="72"/>
      <c r="T181" s="111">
        <f t="shared" si="5"/>
        <v>0</v>
      </c>
      <c r="U181" s="11"/>
      <c r="V181" s="11"/>
      <c r="W181" s="11"/>
      <c r="X181" s="11"/>
      <c r="Y181" s="11"/>
      <c r="Z181" s="74"/>
      <c r="AA181" s="70"/>
      <c r="AB181" s="70"/>
      <c r="AC181" s="70"/>
      <c r="AD181" s="70"/>
      <c r="AE181" s="75"/>
    </row>
    <row r="182" spans="1:31" ht="38.25" thickBot="1">
      <c r="A182" s="236"/>
      <c r="B182" s="238"/>
      <c r="C182" s="18" t="s">
        <v>8</v>
      </c>
      <c r="D182" s="188"/>
      <c r="E182" s="188"/>
      <c r="F182" s="194"/>
      <c r="G182" s="18" t="s">
        <v>164</v>
      </c>
      <c r="H182" s="5">
        <f t="shared" si="3"/>
        <v>1560</v>
      </c>
      <c r="I182" s="5"/>
      <c r="J182" s="5"/>
      <c r="K182" s="5"/>
      <c r="L182" s="5"/>
      <c r="M182" s="5"/>
      <c r="N182" s="5"/>
      <c r="O182" s="17"/>
      <c r="P182" s="17"/>
      <c r="Q182" s="17"/>
      <c r="R182" s="17">
        <v>1560</v>
      </c>
      <c r="S182" s="58"/>
      <c r="T182" s="59">
        <f t="shared" si="5"/>
        <v>0</v>
      </c>
      <c r="U182" s="5"/>
      <c r="V182" s="5"/>
      <c r="W182" s="5"/>
      <c r="X182" s="5"/>
      <c r="Y182" s="5"/>
      <c r="Z182" s="60"/>
      <c r="AA182" s="57"/>
      <c r="AB182" s="57"/>
      <c r="AC182" s="57"/>
      <c r="AD182" s="57"/>
      <c r="AE182" s="61"/>
    </row>
    <row r="183" spans="1:31" s="100" customFormat="1" ht="37.5">
      <c r="A183" s="235">
        <f>A181+1</f>
        <v>85</v>
      </c>
      <c r="B183" s="237" t="s">
        <v>193</v>
      </c>
      <c r="C183" s="44" t="s">
        <v>68</v>
      </c>
      <c r="D183" s="187" t="s">
        <v>5</v>
      </c>
      <c r="E183" s="187" t="s">
        <v>5</v>
      </c>
      <c r="F183" s="192">
        <f>275/1000</f>
        <v>0.275</v>
      </c>
      <c r="G183" s="7" t="s">
        <v>340</v>
      </c>
      <c r="H183" s="11">
        <f t="shared" si="3"/>
        <v>89.3</v>
      </c>
      <c r="I183" s="11"/>
      <c r="J183" s="11"/>
      <c r="K183" s="11"/>
      <c r="L183" s="11"/>
      <c r="M183" s="11"/>
      <c r="N183" s="11"/>
      <c r="O183" s="25"/>
      <c r="P183" s="25"/>
      <c r="Q183" s="25">
        <v>89.3</v>
      </c>
      <c r="R183" s="25"/>
      <c r="S183" s="72"/>
      <c r="T183" s="111">
        <f t="shared" si="5"/>
        <v>0</v>
      </c>
      <c r="U183" s="11"/>
      <c r="V183" s="11"/>
      <c r="W183" s="11"/>
      <c r="X183" s="11"/>
      <c r="Y183" s="11"/>
      <c r="Z183" s="74"/>
      <c r="AA183" s="70"/>
      <c r="AB183" s="70"/>
      <c r="AC183" s="70"/>
      <c r="AD183" s="70"/>
      <c r="AE183" s="75"/>
    </row>
    <row r="184" spans="1:31" ht="38.25" thickBot="1">
      <c r="A184" s="236"/>
      <c r="B184" s="238"/>
      <c r="C184" s="18" t="s">
        <v>8</v>
      </c>
      <c r="D184" s="188"/>
      <c r="E184" s="188"/>
      <c r="F184" s="194"/>
      <c r="G184" s="18" t="s">
        <v>164</v>
      </c>
      <c r="H184" s="5">
        <f t="shared" si="3"/>
        <v>1787.5</v>
      </c>
      <c r="I184" s="5"/>
      <c r="J184" s="5"/>
      <c r="K184" s="5"/>
      <c r="L184" s="5"/>
      <c r="M184" s="5"/>
      <c r="N184" s="5"/>
      <c r="O184" s="17"/>
      <c r="P184" s="17"/>
      <c r="Q184" s="17"/>
      <c r="R184" s="17">
        <v>1787.5</v>
      </c>
      <c r="S184" s="58"/>
      <c r="T184" s="59">
        <f t="shared" si="5"/>
        <v>0</v>
      </c>
      <c r="U184" s="5"/>
      <c r="V184" s="5"/>
      <c r="W184" s="5"/>
      <c r="X184" s="5"/>
      <c r="Y184" s="5"/>
      <c r="Z184" s="60"/>
      <c r="AA184" s="57"/>
      <c r="AB184" s="57"/>
      <c r="AC184" s="57"/>
      <c r="AD184" s="57"/>
      <c r="AE184" s="61"/>
    </row>
    <row r="185" spans="1:31" s="100" customFormat="1" ht="37.5">
      <c r="A185" s="235">
        <f>A183+1</f>
        <v>86</v>
      </c>
      <c r="B185" s="237" t="s">
        <v>194</v>
      </c>
      <c r="C185" s="44" t="s">
        <v>68</v>
      </c>
      <c r="D185" s="187" t="s">
        <v>5</v>
      </c>
      <c r="E185" s="187" t="s">
        <v>5</v>
      </c>
      <c r="F185" s="192">
        <f>250/1000</f>
        <v>0.25</v>
      </c>
      <c r="G185" s="7" t="s">
        <v>76</v>
      </c>
      <c r="H185" s="11">
        <f t="shared" si="3"/>
        <v>81.3</v>
      </c>
      <c r="I185" s="11"/>
      <c r="J185" s="11"/>
      <c r="K185" s="11"/>
      <c r="L185" s="11"/>
      <c r="M185" s="11"/>
      <c r="N185" s="11"/>
      <c r="O185" s="25"/>
      <c r="P185" s="25"/>
      <c r="Q185" s="25">
        <v>81.3</v>
      </c>
      <c r="R185" s="25"/>
      <c r="S185" s="72"/>
      <c r="T185" s="111">
        <f t="shared" si="5"/>
        <v>0</v>
      </c>
      <c r="U185" s="11"/>
      <c r="V185" s="11"/>
      <c r="W185" s="11"/>
      <c r="X185" s="11"/>
      <c r="Y185" s="11"/>
      <c r="Z185" s="74"/>
      <c r="AA185" s="70"/>
      <c r="AB185" s="70"/>
      <c r="AC185" s="70"/>
      <c r="AD185" s="70"/>
      <c r="AE185" s="75"/>
    </row>
    <row r="186" spans="1:31" ht="38.25" thickBot="1">
      <c r="A186" s="236"/>
      <c r="B186" s="238"/>
      <c r="C186" s="18" t="s">
        <v>8</v>
      </c>
      <c r="D186" s="188"/>
      <c r="E186" s="188"/>
      <c r="F186" s="194"/>
      <c r="G186" s="18" t="s">
        <v>164</v>
      </c>
      <c r="H186" s="5">
        <f t="shared" si="3"/>
        <v>1625</v>
      </c>
      <c r="I186" s="5"/>
      <c r="J186" s="5"/>
      <c r="K186" s="5"/>
      <c r="L186" s="5"/>
      <c r="M186" s="5"/>
      <c r="N186" s="5"/>
      <c r="O186" s="17"/>
      <c r="P186" s="17"/>
      <c r="Q186" s="17"/>
      <c r="R186" s="17">
        <v>1625</v>
      </c>
      <c r="S186" s="58"/>
      <c r="T186" s="59">
        <f t="shared" si="5"/>
        <v>0</v>
      </c>
      <c r="U186" s="5"/>
      <c r="V186" s="5"/>
      <c r="W186" s="5"/>
      <c r="X186" s="5"/>
      <c r="Y186" s="5"/>
      <c r="Z186" s="60"/>
      <c r="AA186" s="57"/>
      <c r="AB186" s="57"/>
      <c r="AC186" s="57"/>
      <c r="AD186" s="57"/>
      <c r="AE186" s="61"/>
    </row>
    <row r="187" spans="1:31" s="100" customFormat="1" ht="37.5">
      <c r="A187" s="235">
        <f>A185+1</f>
        <v>87</v>
      </c>
      <c r="B187" s="237" t="s">
        <v>195</v>
      </c>
      <c r="C187" s="44" t="s">
        <v>68</v>
      </c>
      <c r="D187" s="187" t="s">
        <v>5</v>
      </c>
      <c r="E187" s="187" t="s">
        <v>5</v>
      </c>
      <c r="F187" s="192">
        <f>300/1000</f>
        <v>0.3</v>
      </c>
      <c r="G187" s="7" t="s">
        <v>76</v>
      </c>
      <c r="H187" s="11">
        <f t="shared" si="3"/>
        <v>97.5</v>
      </c>
      <c r="I187" s="11"/>
      <c r="J187" s="11"/>
      <c r="K187" s="11"/>
      <c r="L187" s="11"/>
      <c r="M187" s="11"/>
      <c r="N187" s="11"/>
      <c r="O187" s="25"/>
      <c r="P187" s="25"/>
      <c r="Q187" s="25"/>
      <c r="R187" s="25">
        <v>97.5</v>
      </c>
      <c r="S187" s="72"/>
      <c r="T187" s="111">
        <f t="shared" si="5"/>
        <v>0</v>
      </c>
      <c r="U187" s="11"/>
      <c r="V187" s="11"/>
      <c r="W187" s="11"/>
      <c r="X187" s="11"/>
      <c r="Y187" s="11"/>
      <c r="Z187" s="74"/>
      <c r="AA187" s="70"/>
      <c r="AB187" s="70"/>
      <c r="AC187" s="70"/>
      <c r="AD187" s="70"/>
      <c r="AE187" s="75"/>
    </row>
    <row r="188" spans="1:31" ht="38.25" thickBot="1">
      <c r="A188" s="236"/>
      <c r="B188" s="238"/>
      <c r="C188" s="18" t="s">
        <v>8</v>
      </c>
      <c r="D188" s="188"/>
      <c r="E188" s="188"/>
      <c r="F188" s="194"/>
      <c r="G188" s="18" t="s">
        <v>175</v>
      </c>
      <c r="H188" s="5">
        <f t="shared" si="3"/>
        <v>1950</v>
      </c>
      <c r="I188" s="5"/>
      <c r="J188" s="5"/>
      <c r="K188" s="5"/>
      <c r="L188" s="5"/>
      <c r="M188" s="5"/>
      <c r="N188" s="5"/>
      <c r="O188" s="17"/>
      <c r="P188" s="17"/>
      <c r="Q188" s="17"/>
      <c r="R188" s="17"/>
      <c r="S188" s="58">
        <v>1950</v>
      </c>
      <c r="T188" s="59">
        <f t="shared" si="5"/>
        <v>0</v>
      </c>
      <c r="U188" s="5"/>
      <c r="V188" s="5"/>
      <c r="W188" s="5"/>
      <c r="X188" s="5"/>
      <c r="Y188" s="5"/>
      <c r="Z188" s="60"/>
      <c r="AA188" s="57"/>
      <c r="AB188" s="57"/>
      <c r="AC188" s="57"/>
      <c r="AD188" s="57"/>
      <c r="AE188" s="61"/>
    </row>
    <row r="189" spans="1:31" s="100" customFormat="1" ht="37.5">
      <c r="A189" s="235">
        <f>A187+1</f>
        <v>88</v>
      </c>
      <c r="B189" s="237" t="s">
        <v>196</v>
      </c>
      <c r="C189" s="44" t="s">
        <v>68</v>
      </c>
      <c r="D189" s="187" t="s">
        <v>5</v>
      </c>
      <c r="E189" s="187" t="s">
        <v>5</v>
      </c>
      <c r="F189" s="192">
        <f>170/1000</f>
        <v>0.17</v>
      </c>
      <c r="G189" s="7" t="s">
        <v>339</v>
      </c>
      <c r="H189" s="11">
        <f t="shared" si="3"/>
        <v>55.3</v>
      </c>
      <c r="I189" s="11"/>
      <c r="J189" s="11"/>
      <c r="K189" s="11"/>
      <c r="L189" s="11"/>
      <c r="M189" s="11"/>
      <c r="N189" s="11"/>
      <c r="O189" s="25"/>
      <c r="P189" s="25"/>
      <c r="Q189" s="25"/>
      <c r="R189" s="25">
        <v>55.3</v>
      </c>
      <c r="S189" s="72"/>
      <c r="T189" s="111">
        <f t="shared" si="5"/>
        <v>0</v>
      </c>
      <c r="U189" s="11"/>
      <c r="V189" s="11"/>
      <c r="W189" s="11"/>
      <c r="X189" s="11"/>
      <c r="Y189" s="11"/>
      <c r="Z189" s="74"/>
      <c r="AA189" s="70"/>
      <c r="AB189" s="70"/>
      <c r="AC189" s="70"/>
      <c r="AD189" s="70"/>
      <c r="AE189" s="75"/>
    </row>
    <row r="190" spans="1:31" ht="38.25" thickBot="1">
      <c r="A190" s="236"/>
      <c r="B190" s="238"/>
      <c r="C190" s="18" t="s">
        <v>8</v>
      </c>
      <c r="D190" s="188"/>
      <c r="E190" s="188"/>
      <c r="F190" s="194"/>
      <c r="G190" s="18" t="s">
        <v>175</v>
      </c>
      <c r="H190" s="5">
        <f t="shared" si="3"/>
        <v>1105</v>
      </c>
      <c r="I190" s="5"/>
      <c r="J190" s="5"/>
      <c r="K190" s="5"/>
      <c r="L190" s="5"/>
      <c r="M190" s="5"/>
      <c r="N190" s="5"/>
      <c r="O190" s="17"/>
      <c r="P190" s="17"/>
      <c r="Q190" s="17"/>
      <c r="R190" s="17"/>
      <c r="S190" s="58">
        <v>1105</v>
      </c>
      <c r="T190" s="59">
        <f t="shared" si="5"/>
        <v>0</v>
      </c>
      <c r="U190" s="5"/>
      <c r="V190" s="5"/>
      <c r="W190" s="5"/>
      <c r="X190" s="5"/>
      <c r="Y190" s="5"/>
      <c r="Z190" s="60"/>
      <c r="AA190" s="57"/>
      <c r="AB190" s="57"/>
      <c r="AC190" s="57"/>
      <c r="AD190" s="57"/>
      <c r="AE190" s="61"/>
    </row>
    <row r="191" spans="1:31" s="100" customFormat="1" ht="37.5">
      <c r="A191" s="235">
        <f>A189+1</f>
        <v>89</v>
      </c>
      <c r="B191" s="237" t="s">
        <v>197</v>
      </c>
      <c r="C191" s="44" t="s">
        <v>68</v>
      </c>
      <c r="D191" s="187" t="s">
        <v>5</v>
      </c>
      <c r="E191" s="187" t="s">
        <v>5</v>
      </c>
      <c r="F191" s="192">
        <f>50/1000</f>
        <v>0.05</v>
      </c>
      <c r="G191" s="7" t="s">
        <v>337</v>
      </c>
      <c r="H191" s="11">
        <f t="shared" si="3"/>
        <v>16.3</v>
      </c>
      <c r="I191" s="11"/>
      <c r="J191" s="11"/>
      <c r="K191" s="11"/>
      <c r="L191" s="11"/>
      <c r="M191" s="11"/>
      <c r="N191" s="11"/>
      <c r="O191" s="25"/>
      <c r="P191" s="25"/>
      <c r="Q191" s="25"/>
      <c r="R191" s="25">
        <v>16.3</v>
      </c>
      <c r="S191" s="72"/>
      <c r="T191" s="111">
        <f t="shared" si="5"/>
        <v>0</v>
      </c>
      <c r="U191" s="11"/>
      <c r="V191" s="11"/>
      <c r="W191" s="11"/>
      <c r="X191" s="11"/>
      <c r="Y191" s="11"/>
      <c r="Z191" s="74"/>
      <c r="AA191" s="70"/>
      <c r="AB191" s="70"/>
      <c r="AC191" s="70"/>
      <c r="AD191" s="70"/>
      <c r="AE191" s="75"/>
    </row>
    <row r="192" spans="1:31" ht="38.25" thickBot="1">
      <c r="A192" s="236"/>
      <c r="B192" s="238"/>
      <c r="C192" s="18" t="s">
        <v>8</v>
      </c>
      <c r="D192" s="188"/>
      <c r="E192" s="188"/>
      <c r="F192" s="194"/>
      <c r="G192" s="18" t="s">
        <v>175</v>
      </c>
      <c r="H192" s="5">
        <f t="shared" si="3"/>
        <v>325</v>
      </c>
      <c r="I192" s="5"/>
      <c r="J192" s="5"/>
      <c r="K192" s="5"/>
      <c r="L192" s="5"/>
      <c r="M192" s="5"/>
      <c r="N192" s="5"/>
      <c r="O192" s="17"/>
      <c r="P192" s="17"/>
      <c r="Q192" s="17"/>
      <c r="R192" s="17"/>
      <c r="S192" s="58">
        <v>325</v>
      </c>
      <c r="T192" s="59">
        <f t="shared" si="5"/>
        <v>0</v>
      </c>
      <c r="U192" s="5"/>
      <c r="V192" s="5"/>
      <c r="W192" s="5"/>
      <c r="X192" s="5"/>
      <c r="Y192" s="5"/>
      <c r="Z192" s="60"/>
      <c r="AA192" s="57"/>
      <c r="AB192" s="57"/>
      <c r="AC192" s="57"/>
      <c r="AD192" s="57"/>
      <c r="AE192" s="61"/>
    </row>
    <row r="193" spans="1:31" s="100" customFormat="1" ht="37.5">
      <c r="A193" s="235">
        <f>A191+1</f>
        <v>90</v>
      </c>
      <c r="B193" s="237" t="s">
        <v>198</v>
      </c>
      <c r="C193" s="44" t="s">
        <v>68</v>
      </c>
      <c r="D193" s="187" t="s">
        <v>5</v>
      </c>
      <c r="E193" s="187" t="s">
        <v>5</v>
      </c>
      <c r="F193" s="192">
        <f>60/1000</f>
        <v>0.06</v>
      </c>
      <c r="G193" s="7" t="s">
        <v>341</v>
      </c>
      <c r="H193" s="11">
        <f t="shared" si="3"/>
        <v>19.5</v>
      </c>
      <c r="I193" s="11"/>
      <c r="J193" s="11"/>
      <c r="K193" s="11"/>
      <c r="L193" s="11"/>
      <c r="M193" s="11"/>
      <c r="N193" s="11"/>
      <c r="O193" s="25"/>
      <c r="P193" s="25"/>
      <c r="Q193" s="25">
        <v>19.5</v>
      </c>
      <c r="R193" s="25"/>
      <c r="S193" s="72"/>
      <c r="T193" s="111">
        <f t="shared" si="5"/>
        <v>0</v>
      </c>
      <c r="U193" s="11"/>
      <c r="V193" s="11"/>
      <c r="W193" s="11"/>
      <c r="X193" s="11"/>
      <c r="Y193" s="11"/>
      <c r="Z193" s="74"/>
      <c r="AA193" s="70"/>
      <c r="AB193" s="70"/>
      <c r="AC193" s="70"/>
      <c r="AD193" s="70"/>
      <c r="AE193" s="75"/>
    </row>
    <row r="194" spans="1:31" ht="38.25" thickBot="1">
      <c r="A194" s="236"/>
      <c r="B194" s="238"/>
      <c r="C194" s="18" t="s">
        <v>8</v>
      </c>
      <c r="D194" s="188"/>
      <c r="E194" s="188"/>
      <c r="F194" s="194"/>
      <c r="G194" s="18" t="s">
        <v>164</v>
      </c>
      <c r="H194" s="5">
        <f t="shared" si="3"/>
        <v>390</v>
      </c>
      <c r="I194" s="5"/>
      <c r="J194" s="5"/>
      <c r="K194" s="5"/>
      <c r="L194" s="5"/>
      <c r="M194" s="5"/>
      <c r="N194" s="5"/>
      <c r="O194" s="17"/>
      <c r="P194" s="17"/>
      <c r="Q194" s="17"/>
      <c r="R194" s="17">
        <v>390</v>
      </c>
      <c r="S194" s="58"/>
      <c r="T194" s="59">
        <f t="shared" si="5"/>
        <v>0</v>
      </c>
      <c r="U194" s="5"/>
      <c r="V194" s="5"/>
      <c r="W194" s="5"/>
      <c r="X194" s="5"/>
      <c r="Y194" s="5"/>
      <c r="Z194" s="60"/>
      <c r="AA194" s="57"/>
      <c r="AB194" s="57"/>
      <c r="AC194" s="57"/>
      <c r="AD194" s="57"/>
      <c r="AE194" s="61"/>
    </row>
    <row r="195" spans="1:31" s="100" customFormat="1" ht="37.5">
      <c r="A195" s="235">
        <f>A193+1</f>
        <v>91</v>
      </c>
      <c r="B195" s="237" t="s">
        <v>199</v>
      </c>
      <c r="C195" s="44" t="s">
        <v>68</v>
      </c>
      <c r="D195" s="187" t="s">
        <v>5</v>
      </c>
      <c r="E195" s="187" t="s">
        <v>5</v>
      </c>
      <c r="F195" s="192">
        <f>250/1000</f>
        <v>0.25</v>
      </c>
      <c r="G195" s="7" t="s">
        <v>76</v>
      </c>
      <c r="H195" s="11">
        <f t="shared" si="3"/>
        <v>81.3</v>
      </c>
      <c r="I195" s="11"/>
      <c r="J195" s="11"/>
      <c r="K195" s="11"/>
      <c r="L195" s="11"/>
      <c r="M195" s="11"/>
      <c r="N195" s="11"/>
      <c r="O195" s="25"/>
      <c r="P195" s="25"/>
      <c r="Q195" s="25">
        <v>81.3</v>
      </c>
      <c r="R195" s="25"/>
      <c r="S195" s="72"/>
      <c r="T195" s="111">
        <f t="shared" si="5"/>
        <v>0</v>
      </c>
      <c r="U195" s="11"/>
      <c r="V195" s="11"/>
      <c r="W195" s="11"/>
      <c r="X195" s="11"/>
      <c r="Y195" s="11"/>
      <c r="Z195" s="74"/>
      <c r="AA195" s="70"/>
      <c r="AB195" s="70"/>
      <c r="AC195" s="70"/>
      <c r="AD195" s="70"/>
      <c r="AE195" s="75"/>
    </row>
    <row r="196" spans="1:31" ht="38.25" thickBot="1">
      <c r="A196" s="236"/>
      <c r="B196" s="238"/>
      <c r="C196" s="18" t="s">
        <v>8</v>
      </c>
      <c r="D196" s="188"/>
      <c r="E196" s="188"/>
      <c r="F196" s="194"/>
      <c r="G196" s="18" t="s">
        <v>164</v>
      </c>
      <c r="H196" s="5">
        <f t="shared" si="3"/>
        <v>1625</v>
      </c>
      <c r="I196" s="5"/>
      <c r="J196" s="5"/>
      <c r="K196" s="5"/>
      <c r="L196" s="5"/>
      <c r="M196" s="5"/>
      <c r="N196" s="5"/>
      <c r="O196" s="17"/>
      <c r="P196" s="17"/>
      <c r="Q196" s="17"/>
      <c r="R196" s="17">
        <v>1625</v>
      </c>
      <c r="S196" s="58"/>
      <c r="T196" s="59">
        <f t="shared" si="5"/>
        <v>0</v>
      </c>
      <c r="U196" s="5"/>
      <c r="V196" s="5"/>
      <c r="W196" s="5"/>
      <c r="X196" s="5"/>
      <c r="Y196" s="5"/>
      <c r="Z196" s="60"/>
      <c r="AA196" s="57"/>
      <c r="AB196" s="57"/>
      <c r="AC196" s="57"/>
      <c r="AD196" s="57"/>
      <c r="AE196" s="61"/>
    </row>
    <row r="197" spans="1:31" s="100" customFormat="1" ht="43.5" customHeight="1">
      <c r="A197" s="235">
        <f>A195+1</f>
        <v>92</v>
      </c>
      <c r="B197" s="237" t="s">
        <v>200</v>
      </c>
      <c r="C197" s="44" t="s">
        <v>68</v>
      </c>
      <c r="D197" s="187" t="s">
        <v>5</v>
      </c>
      <c r="E197" s="187" t="s">
        <v>5</v>
      </c>
      <c r="F197" s="192">
        <f>70/1000</f>
        <v>0.07</v>
      </c>
      <c r="G197" s="7" t="s">
        <v>76</v>
      </c>
      <c r="H197" s="11">
        <f t="shared" si="3"/>
        <v>22.8</v>
      </c>
      <c r="I197" s="11"/>
      <c r="J197" s="11"/>
      <c r="K197" s="11"/>
      <c r="L197" s="11"/>
      <c r="M197" s="11"/>
      <c r="N197" s="11"/>
      <c r="O197" s="25"/>
      <c r="P197" s="25"/>
      <c r="Q197" s="25"/>
      <c r="R197" s="25">
        <v>22.8</v>
      </c>
      <c r="S197" s="72"/>
      <c r="T197" s="111">
        <f t="shared" si="5"/>
        <v>0</v>
      </c>
      <c r="U197" s="11"/>
      <c r="V197" s="11"/>
      <c r="W197" s="11"/>
      <c r="X197" s="11"/>
      <c r="Y197" s="11"/>
      <c r="Z197" s="74"/>
      <c r="AA197" s="70"/>
      <c r="AB197" s="70"/>
      <c r="AC197" s="70"/>
      <c r="AD197" s="70"/>
      <c r="AE197" s="75"/>
    </row>
    <row r="198" spans="1:31" ht="38.25" thickBot="1">
      <c r="A198" s="236"/>
      <c r="B198" s="238"/>
      <c r="C198" s="18" t="s">
        <v>8</v>
      </c>
      <c r="D198" s="188"/>
      <c r="E198" s="188"/>
      <c r="F198" s="194"/>
      <c r="G198" s="18" t="s">
        <v>175</v>
      </c>
      <c r="H198" s="5">
        <f t="shared" si="3"/>
        <v>455</v>
      </c>
      <c r="I198" s="5"/>
      <c r="J198" s="5"/>
      <c r="K198" s="5"/>
      <c r="L198" s="5"/>
      <c r="M198" s="5"/>
      <c r="N198" s="5"/>
      <c r="O198" s="17"/>
      <c r="P198" s="17"/>
      <c r="Q198" s="17"/>
      <c r="R198" s="17"/>
      <c r="S198" s="58">
        <v>455</v>
      </c>
      <c r="T198" s="59">
        <f t="shared" si="5"/>
        <v>0</v>
      </c>
      <c r="U198" s="5"/>
      <c r="V198" s="5"/>
      <c r="W198" s="5"/>
      <c r="X198" s="5"/>
      <c r="Y198" s="5"/>
      <c r="Z198" s="60"/>
      <c r="AA198" s="57"/>
      <c r="AB198" s="57"/>
      <c r="AC198" s="57"/>
      <c r="AD198" s="57"/>
      <c r="AE198" s="61"/>
    </row>
    <row r="199" spans="1:31" s="100" customFormat="1" ht="37.5">
      <c r="A199" s="235">
        <f>A197+1</f>
        <v>93</v>
      </c>
      <c r="B199" s="237" t="s">
        <v>201</v>
      </c>
      <c r="C199" s="44" t="s">
        <v>68</v>
      </c>
      <c r="D199" s="187" t="s">
        <v>5</v>
      </c>
      <c r="E199" s="187" t="s">
        <v>5</v>
      </c>
      <c r="F199" s="192">
        <f>70/1000</f>
        <v>0.07</v>
      </c>
      <c r="G199" s="7" t="s">
        <v>76</v>
      </c>
      <c r="H199" s="11">
        <f t="shared" si="3"/>
        <v>22.8</v>
      </c>
      <c r="I199" s="11"/>
      <c r="J199" s="11"/>
      <c r="K199" s="11"/>
      <c r="L199" s="11"/>
      <c r="M199" s="11"/>
      <c r="N199" s="11"/>
      <c r="O199" s="25"/>
      <c r="P199" s="25"/>
      <c r="Q199" s="25">
        <v>22.8</v>
      </c>
      <c r="R199" s="25"/>
      <c r="S199" s="72"/>
      <c r="T199" s="111">
        <f t="shared" si="5"/>
        <v>0</v>
      </c>
      <c r="U199" s="11"/>
      <c r="V199" s="11"/>
      <c r="W199" s="11"/>
      <c r="X199" s="11"/>
      <c r="Y199" s="11"/>
      <c r="Z199" s="74"/>
      <c r="AA199" s="70"/>
      <c r="AB199" s="70"/>
      <c r="AC199" s="70"/>
      <c r="AD199" s="70"/>
      <c r="AE199" s="75"/>
    </row>
    <row r="200" spans="1:31" ht="38.25" thickBot="1">
      <c r="A200" s="236"/>
      <c r="B200" s="238"/>
      <c r="C200" s="18" t="s">
        <v>8</v>
      </c>
      <c r="D200" s="188"/>
      <c r="E200" s="188"/>
      <c r="F200" s="194"/>
      <c r="G200" s="18" t="s">
        <v>164</v>
      </c>
      <c r="H200" s="5">
        <f t="shared" si="3"/>
        <v>455</v>
      </c>
      <c r="I200" s="5"/>
      <c r="J200" s="5"/>
      <c r="K200" s="5"/>
      <c r="L200" s="5"/>
      <c r="M200" s="5"/>
      <c r="N200" s="5"/>
      <c r="O200" s="17"/>
      <c r="P200" s="17"/>
      <c r="Q200" s="17"/>
      <c r="R200" s="17">
        <v>455</v>
      </c>
      <c r="S200" s="58"/>
      <c r="T200" s="59">
        <f t="shared" si="5"/>
        <v>0</v>
      </c>
      <c r="U200" s="5"/>
      <c r="V200" s="5"/>
      <c r="W200" s="5"/>
      <c r="X200" s="5"/>
      <c r="Y200" s="5"/>
      <c r="Z200" s="60"/>
      <c r="AA200" s="57"/>
      <c r="AB200" s="57"/>
      <c r="AC200" s="57"/>
      <c r="AD200" s="57"/>
      <c r="AE200" s="61"/>
    </row>
    <row r="201" spans="1:31" s="100" customFormat="1" ht="37.5">
      <c r="A201" s="235">
        <f>A199+1</f>
        <v>94</v>
      </c>
      <c r="B201" s="237" t="s">
        <v>202</v>
      </c>
      <c r="C201" s="44" t="s">
        <v>68</v>
      </c>
      <c r="D201" s="187" t="s">
        <v>5</v>
      </c>
      <c r="E201" s="187" t="s">
        <v>5</v>
      </c>
      <c r="F201" s="192">
        <f>50/1000</f>
        <v>0.05</v>
      </c>
      <c r="G201" s="7" t="s">
        <v>76</v>
      </c>
      <c r="H201" s="11">
        <f t="shared" si="3"/>
        <v>16.3</v>
      </c>
      <c r="I201" s="11"/>
      <c r="J201" s="11"/>
      <c r="K201" s="11"/>
      <c r="L201" s="11"/>
      <c r="M201" s="11"/>
      <c r="N201" s="11"/>
      <c r="O201" s="25"/>
      <c r="P201" s="25"/>
      <c r="Q201" s="25">
        <v>16.3</v>
      </c>
      <c r="R201" s="25"/>
      <c r="S201" s="72"/>
      <c r="T201" s="111">
        <f t="shared" si="5"/>
        <v>0</v>
      </c>
      <c r="U201" s="11"/>
      <c r="V201" s="11"/>
      <c r="W201" s="11"/>
      <c r="X201" s="11"/>
      <c r="Y201" s="11"/>
      <c r="Z201" s="74"/>
      <c r="AA201" s="70"/>
      <c r="AB201" s="70"/>
      <c r="AC201" s="70"/>
      <c r="AD201" s="70"/>
      <c r="AE201" s="75"/>
    </row>
    <row r="202" spans="1:31" ht="38.25" thickBot="1">
      <c r="A202" s="236"/>
      <c r="B202" s="238"/>
      <c r="C202" s="18" t="s">
        <v>8</v>
      </c>
      <c r="D202" s="188"/>
      <c r="E202" s="188"/>
      <c r="F202" s="194"/>
      <c r="G202" s="18" t="s">
        <v>164</v>
      </c>
      <c r="H202" s="5">
        <f t="shared" si="3"/>
        <v>325</v>
      </c>
      <c r="I202" s="5"/>
      <c r="J202" s="5"/>
      <c r="K202" s="5"/>
      <c r="L202" s="5"/>
      <c r="M202" s="5"/>
      <c r="N202" s="5"/>
      <c r="O202" s="17"/>
      <c r="P202" s="17"/>
      <c r="Q202" s="17"/>
      <c r="R202" s="17">
        <v>325</v>
      </c>
      <c r="S202" s="58"/>
      <c r="T202" s="59">
        <f t="shared" si="5"/>
        <v>0</v>
      </c>
      <c r="U202" s="5"/>
      <c r="V202" s="5"/>
      <c r="W202" s="5"/>
      <c r="X202" s="5"/>
      <c r="Y202" s="5"/>
      <c r="Z202" s="60"/>
      <c r="AA202" s="57"/>
      <c r="AB202" s="57"/>
      <c r="AC202" s="57"/>
      <c r="AD202" s="57"/>
      <c r="AE202" s="61"/>
    </row>
    <row r="203" spans="1:31" s="100" customFormat="1" ht="37.5">
      <c r="A203" s="235">
        <f>A201+1</f>
        <v>95</v>
      </c>
      <c r="B203" s="237" t="s">
        <v>203</v>
      </c>
      <c r="C203" s="44" t="s">
        <v>68</v>
      </c>
      <c r="D203" s="187" t="s">
        <v>5</v>
      </c>
      <c r="E203" s="187" t="s">
        <v>5</v>
      </c>
      <c r="F203" s="192">
        <f>60/1000</f>
        <v>0.06</v>
      </c>
      <c r="G203" s="7" t="s">
        <v>337</v>
      </c>
      <c r="H203" s="11">
        <f t="shared" si="3"/>
        <v>19.5</v>
      </c>
      <c r="I203" s="11"/>
      <c r="J203" s="11"/>
      <c r="K203" s="11"/>
      <c r="L203" s="11"/>
      <c r="M203" s="11"/>
      <c r="N203" s="11"/>
      <c r="O203" s="25"/>
      <c r="P203" s="25"/>
      <c r="Q203" s="25">
        <v>19.5</v>
      </c>
      <c r="R203" s="25"/>
      <c r="S203" s="72"/>
      <c r="T203" s="111">
        <f t="shared" si="5"/>
        <v>0</v>
      </c>
      <c r="U203" s="11"/>
      <c r="V203" s="11"/>
      <c r="W203" s="11"/>
      <c r="X203" s="11"/>
      <c r="Y203" s="11"/>
      <c r="Z203" s="74"/>
      <c r="AA203" s="70"/>
      <c r="AB203" s="70"/>
      <c r="AC203" s="70"/>
      <c r="AD203" s="70"/>
      <c r="AE203" s="75"/>
    </row>
    <row r="204" spans="1:31" ht="38.25" thickBot="1">
      <c r="A204" s="236"/>
      <c r="B204" s="238"/>
      <c r="C204" s="18" t="s">
        <v>8</v>
      </c>
      <c r="D204" s="188"/>
      <c r="E204" s="188"/>
      <c r="F204" s="194"/>
      <c r="G204" s="18" t="s">
        <v>164</v>
      </c>
      <c r="H204" s="5">
        <f t="shared" si="3"/>
        <v>390</v>
      </c>
      <c r="I204" s="5"/>
      <c r="J204" s="5"/>
      <c r="K204" s="5"/>
      <c r="L204" s="5"/>
      <c r="M204" s="5"/>
      <c r="N204" s="5"/>
      <c r="O204" s="17"/>
      <c r="P204" s="17"/>
      <c r="Q204" s="17"/>
      <c r="R204" s="17">
        <v>390</v>
      </c>
      <c r="S204" s="58"/>
      <c r="T204" s="59">
        <f t="shared" si="5"/>
        <v>0</v>
      </c>
      <c r="U204" s="5"/>
      <c r="V204" s="5"/>
      <c r="W204" s="5"/>
      <c r="X204" s="5"/>
      <c r="Y204" s="5"/>
      <c r="Z204" s="60"/>
      <c r="AA204" s="57"/>
      <c r="AB204" s="57"/>
      <c r="AC204" s="57"/>
      <c r="AD204" s="57"/>
      <c r="AE204" s="61"/>
    </row>
    <row r="205" spans="1:31" s="100" customFormat="1" ht="38.25" thickBot="1">
      <c r="A205" s="235">
        <f>A203+1</f>
        <v>96</v>
      </c>
      <c r="B205" s="237" t="s">
        <v>204</v>
      </c>
      <c r="C205" s="44" t="s">
        <v>68</v>
      </c>
      <c r="D205" s="187" t="s">
        <v>5</v>
      </c>
      <c r="E205" s="187" t="s">
        <v>5</v>
      </c>
      <c r="F205" s="192">
        <f>60/1000</f>
        <v>0.06</v>
      </c>
      <c r="G205" s="7" t="s">
        <v>336</v>
      </c>
      <c r="H205" s="11">
        <f t="shared" si="3"/>
        <v>19.5</v>
      </c>
      <c r="I205" s="11"/>
      <c r="J205" s="11"/>
      <c r="K205" s="11"/>
      <c r="L205" s="11"/>
      <c r="M205" s="11"/>
      <c r="N205" s="11"/>
      <c r="O205" s="25"/>
      <c r="P205" s="25"/>
      <c r="Q205" s="25">
        <v>19.5</v>
      </c>
      <c r="R205" s="25"/>
      <c r="S205" s="72"/>
      <c r="T205" s="59">
        <f t="shared" si="5"/>
        <v>0</v>
      </c>
      <c r="U205" s="11"/>
      <c r="V205" s="11"/>
      <c r="W205" s="11"/>
      <c r="X205" s="11"/>
      <c r="Y205" s="11"/>
      <c r="Z205" s="74"/>
      <c r="AA205" s="70"/>
      <c r="AB205" s="70"/>
      <c r="AC205" s="70"/>
      <c r="AD205" s="70"/>
      <c r="AE205" s="75"/>
    </row>
    <row r="206" spans="1:31" ht="38.25" thickBot="1">
      <c r="A206" s="236"/>
      <c r="B206" s="238"/>
      <c r="C206" s="18" t="s">
        <v>8</v>
      </c>
      <c r="D206" s="188"/>
      <c r="E206" s="188"/>
      <c r="F206" s="194"/>
      <c r="G206" s="18" t="s">
        <v>164</v>
      </c>
      <c r="H206" s="5">
        <f t="shared" si="3"/>
        <v>390</v>
      </c>
      <c r="I206" s="5"/>
      <c r="J206" s="5"/>
      <c r="K206" s="5"/>
      <c r="L206" s="5"/>
      <c r="M206" s="5"/>
      <c r="N206" s="5"/>
      <c r="O206" s="17"/>
      <c r="P206" s="17"/>
      <c r="Q206" s="17"/>
      <c r="R206" s="17">
        <v>390</v>
      </c>
      <c r="S206" s="58"/>
      <c r="T206" s="59">
        <f t="shared" si="5"/>
        <v>0</v>
      </c>
      <c r="U206" s="5"/>
      <c r="V206" s="5"/>
      <c r="W206" s="5"/>
      <c r="X206" s="5"/>
      <c r="Y206" s="5"/>
      <c r="Z206" s="60"/>
      <c r="AA206" s="57"/>
      <c r="AB206" s="57"/>
      <c r="AC206" s="57"/>
      <c r="AD206" s="57"/>
      <c r="AE206" s="61"/>
    </row>
    <row r="207" spans="1:31" s="100" customFormat="1" ht="37.5">
      <c r="A207" s="235">
        <f>A205+1</f>
        <v>97</v>
      </c>
      <c r="B207" s="237" t="s">
        <v>205</v>
      </c>
      <c r="C207" s="44" t="s">
        <v>68</v>
      </c>
      <c r="D207" s="187" t="s">
        <v>5</v>
      </c>
      <c r="E207" s="187" t="s">
        <v>5</v>
      </c>
      <c r="F207" s="192">
        <f>50/1000</f>
        <v>0.05</v>
      </c>
      <c r="G207" s="7" t="s">
        <v>337</v>
      </c>
      <c r="H207" s="11">
        <f t="shared" si="3"/>
        <v>16.3</v>
      </c>
      <c r="I207" s="11"/>
      <c r="J207" s="11"/>
      <c r="K207" s="11"/>
      <c r="L207" s="11"/>
      <c r="M207" s="11"/>
      <c r="N207" s="11"/>
      <c r="O207" s="25"/>
      <c r="P207" s="25"/>
      <c r="Q207" s="25">
        <v>16.3</v>
      </c>
      <c r="R207" s="25"/>
      <c r="S207" s="72"/>
      <c r="T207" s="111">
        <f t="shared" si="5"/>
        <v>0</v>
      </c>
      <c r="U207" s="11"/>
      <c r="V207" s="11"/>
      <c r="W207" s="11"/>
      <c r="X207" s="11"/>
      <c r="Y207" s="11"/>
      <c r="Z207" s="74"/>
      <c r="AA207" s="70"/>
      <c r="AB207" s="70"/>
      <c r="AC207" s="70"/>
      <c r="AD207" s="70"/>
      <c r="AE207" s="75"/>
    </row>
    <row r="208" spans="1:31" ht="38.25" thickBot="1">
      <c r="A208" s="236"/>
      <c r="B208" s="238"/>
      <c r="C208" s="18" t="s">
        <v>8</v>
      </c>
      <c r="D208" s="188"/>
      <c r="E208" s="188"/>
      <c r="F208" s="194"/>
      <c r="G208" s="18" t="s">
        <v>164</v>
      </c>
      <c r="H208" s="5">
        <f t="shared" si="3"/>
        <v>325</v>
      </c>
      <c r="I208" s="5"/>
      <c r="J208" s="5"/>
      <c r="K208" s="5"/>
      <c r="L208" s="5"/>
      <c r="M208" s="5"/>
      <c r="N208" s="5"/>
      <c r="O208" s="17"/>
      <c r="P208" s="17"/>
      <c r="Q208" s="17"/>
      <c r="R208" s="17">
        <v>325</v>
      </c>
      <c r="S208" s="58"/>
      <c r="T208" s="59">
        <f t="shared" si="5"/>
        <v>0</v>
      </c>
      <c r="U208" s="5"/>
      <c r="V208" s="5"/>
      <c r="W208" s="5"/>
      <c r="X208" s="5"/>
      <c r="Y208" s="5"/>
      <c r="Z208" s="60"/>
      <c r="AA208" s="57"/>
      <c r="AB208" s="57"/>
      <c r="AC208" s="57"/>
      <c r="AD208" s="57"/>
      <c r="AE208" s="61"/>
    </row>
    <row r="209" spans="1:31" s="100" customFormat="1" ht="37.5">
      <c r="A209" s="235">
        <f>A207+1</f>
        <v>98</v>
      </c>
      <c r="B209" s="237" t="s">
        <v>206</v>
      </c>
      <c r="C209" s="44" t="s">
        <v>68</v>
      </c>
      <c r="D209" s="187" t="s">
        <v>5</v>
      </c>
      <c r="E209" s="187" t="s">
        <v>5</v>
      </c>
      <c r="F209" s="192">
        <f>50/1000</f>
        <v>0.05</v>
      </c>
      <c r="G209" s="7" t="s">
        <v>339</v>
      </c>
      <c r="H209" s="11">
        <f t="shared" si="3"/>
        <v>16.3</v>
      </c>
      <c r="I209" s="11"/>
      <c r="J209" s="11"/>
      <c r="K209" s="11"/>
      <c r="L209" s="11"/>
      <c r="M209" s="11"/>
      <c r="N209" s="11"/>
      <c r="O209" s="25"/>
      <c r="P209" s="25"/>
      <c r="Q209" s="25">
        <v>16.3</v>
      </c>
      <c r="R209" s="25"/>
      <c r="S209" s="72"/>
      <c r="T209" s="111">
        <f t="shared" si="5"/>
        <v>0</v>
      </c>
      <c r="U209" s="11"/>
      <c r="V209" s="11"/>
      <c r="W209" s="11"/>
      <c r="X209" s="11"/>
      <c r="Y209" s="11"/>
      <c r="Z209" s="74"/>
      <c r="AA209" s="70"/>
      <c r="AB209" s="70"/>
      <c r="AC209" s="70"/>
      <c r="AD209" s="70"/>
      <c r="AE209" s="75"/>
    </row>
    <row r="210" spans="1:31" ht="38.25" thickBot="1">
      <c r="A210" s="236"/>
      <c r="B210" s="238"/>
      <c r="C210" s="18" t="s">
        <v>8</v>
      </c>
      <c r="D210" s="188"/>
      <c r="E210" s="188"/>
      <c r="F210" s="194"/>
      <c r="G210" s="18" t="s">
        <v>164</v>
      </c>
      <c r="H210" s="5">
        <f t="shared" si="3"/>
        <v>325</v>
      </c>
      <c r="I210" s="5"/>
      <c r="J210" s="5"/>
      <c r="K210" s="5"/>
      <c r="L210" s="5"/>
      <c r="M210" s="5"/>
      <c r="N210" s="5"/>
      <c r="O210" s="17"/>
      <c r="P210" s="17"/>
      <c r="Q210" s="17"/>
      <c r="R210" s="17">
        <v>325</v>
      </c>
      <c r="S210" s="58"/>
      <c r="T210" s="59">
        <f t="shared" si="5"/>
        <v>0</v>
      </c>
      <c r="U210" s="5"/>
      <c r="V210" s="5"/>
      <c r="W210" s="5"/>
      <c r="X210" s="5"/>
      <c r="Y210" s="5"/>
      <c r="Z210" s="60"/>
      <c r="AA210" s="57"/>
      <c r="AB210" s="57"/>
      <c r="AC210" s="57"/>
      <c r="AD210" s="57"/>
      <c r="AE210" s="61"/>
    </row>
    <row r="211" spans="1:31" s="100" customFormat="1" ht="37.5">
      <c r="A211" s="235">
        <f>A209+1</f>
        <v>99</v>
      </c>
      <c r="B211" s="237" t="s">
        <v>207</v>
      </c>
      <c r="C211" s="44" t="s">
        <v>68</v>
      </c>
      <c r="D211" s="187" t="s">
        <v>5</v>
      </c>
      <c r="E211" s="187" t="s">
        <v>5</v>
      </c>
      <c r="F211" s="192">
        <f>60/1000</f>
        <v>0.06</v>
      </c>
      <c r="G211" s="7" t="s">
        <v>76</v>
      </c>
      <c r="H211" s="11">
        <f t="shared" si="3"/>
        <v>19.5</v>
      </c>
      <c r="I211" s="11"/>
      <c r="J211" s="11"/>
      <c r="K211" s="11"/>
      <c r="L211" s="11"/>
      <c r="M211" s="11"/>
      <c r="N211" s="11"/>
      <c r="O211" s="25"/>
      <c r="P211" s="25"/>
      <c r="Q211" s="25">
        <v>19.5</v>
      </c>
      <c r="R211" s="25"/>
      <c r="S211" s="72"/>
      <c r="T211" s="111">
        <f t="shared" si="5"/>
        <v>0</v>
      </c>
      <c r="U211" s="11"/>
      <c r="V211" s="11"/>
      <c r="W211" s="11"/>
      <c r="X211" s="11"/>
      <c r="Y211" s="11"/>
      <c r="Z211" s="74"/>
      <c r="AA211" s="70"/>
      <c r="AB211" s="70"/>
      <c r="AC211" s="70"/>
      <c r="AD211" s="70"/>
      <c r="AE211" s="75"/>
    </row>
    <row r="212" spans="1:31" ht="38.25" thickBot="1">
      <c r="A212" s="236"/>
      <c r="B212" s="238"/>
      <c r="C212" s="18" t="s">
        <v>8</v>
      </c>
      <c r="D212" s="188"/>
      <c r="E212" s="188"/>
      <c r="F212" s="194"/>
      <c r="G212" s="18" t="s">
        <v>164</v>
      </c>
      <c r="H212" s="5">
        <f t="shared" si="3"/>
        <v>390</v>
      </c>
      <c r="I212" s="5"/>
      <c r="J212" s="5"/>
      <c r="K212" s="5"/>
      <c r="L212" s="5"/>
      <c r="M212" s="5"/>
      <c r="N212" s="5"/>
      <c r="O212" s="17"/>
      <c r="P212" s="17"/>
      <c r="Q212" s="17"/>
      <c r="R212" s="17">
        <v>390</v>
      </c>
      <c r="S212" s="58"/>
      <c r="T212" s="59">
        <f t="shared" si="5"/>
        <v>0</v>
      </c>
      <c r="U212" s="5"/>
      <c r="V212" s="5"/>
      <c r="W212" s="5"/>
      <c r="X212" s="5"/>
      <c r="Y212" s="5"/>
      <c r="Z212" s="60"/>
      <c r="AA212" s="57"/>
      <c r="AB212" s="57"/>
      <c r="AC212" s="57"/>
      <c r="AD212" s="57"/>
      <c r="AE212" s="61"/>
    </row>
    <row r="213" spans="1:31" s="100" customFormat="1" ht="37.5">
      <c r="A213" s="235">
        <f>A211+1</f>
        <v>100</v>
      </c>
      <c r="B213" s="237" t="s">
        <v>208</v>
      </c>
      <c r="C213" s="44" t="s">
        <v>68</v>
      </c>
      <c r="D213" s="187" t="s">
        <v>5</v>
      </c>
      <c r="E213" s="187" t="s">
        <v>5</v>
      </c>
      <c r="F213" s="192">
        <f>70/1000</f>
        <v>0.07</v>
      </c>
      <c r="G213" s="7" t="s">
        <v>339</v>
      </c>
      <c r="H213" s="11">
        <f t="shared" si="3"/>
        <v>22.8</v>
      </c>
      <c r="I213" s="11"/>
      <c r="J213" s="11"/>
      <c r="K213" s="11"/>
      <c r="L213" s="11"/>
      <c r="M213" s="11"/>
      <c r="N213" s="11"/>
      <c r="O213" s="25"/>
      <c r="P213" s="25"/>
      <c r="Q213" s="25">
        <v>22.8</v>
      </c>
      <c r="R213" s="25"/>
      <c r="S213" s="72"/>
      <c r="T213" s="111">
        <f t="shared" si="5"/>
        <v>0</v>
      </c>
      <c r="U213" s="11"/>
      <c r="V213" s="11"/>
      <c r="W213" s="11"/>
      <c r="X213" s="11"/>
      <c r="Y213" s="11"/>
      <c r="Z213" s="74"/>
      <c r="AA213" s="70"/>
      <c r="AB213" s="70"/>
      <c r="AC213" s="70"/>
      <c r="AD213" s="70"/>
      <c r="AE213" s="75"/>
    </row>
    <row r="214" spans="1:31" ht="38.25" thickBot="1">
      <c r="A214" s="236"/>
      <c r="B214" s="238"/>
      <c r="C214" s="18" t="s">
        <v>8</v>
      </c>
      <c r="D214" s="188"/>
      <c r="E214" s="188"/>
      <c r="F214" s="194"/>
      <c r="G214" s="18" t="s">
        <v>164</v>
      </c>
      <c r="H214" s="5">
        <f t="shared" si="3"/>
        <v>455</v>
      </c>
      <c r="I214" s="5"/>
      <c r="J214" s="5"/>
      <c r="K214" s="5"/>
      <c r="L214" s="5"/>
      <c r="M214" s="5"/>
      <c r="N214" s="5"/>
      <c r="O214" s="17"/>
      <c r="P214" s="17"/>
      <c r="Q214" s="17"/>
      <c r="R214" s="17">
        <v>455</v>
      </c>
      <c r="S214" s="58"/>
      <c r="T214" s="59">
        <f t="shared" si="5"/>
        <v>0</v>
      </c>
      <c r="U214" s="5"/>
      <c r="V214" s="5"/>
      <c r="W214" s="5"/>
      <c r="X214" s="5"/>
      <c r="Y214" s="5"/>
      <c r="Z214" s="60"/>
      <c r="AA214" s="57"/>
      <c r="AB214" s="57"/>
      <c r="AC214" s="57"/>
      <c r="AD214" s="57"/>
      <c r="AE214" s="61"/>
    </row>
    <row r="215" spans="1:31" s="100" customFormat="1" ht="37.5">
      <c r="A215" s="235">
        <f>A213+1</f>
        <v>101</v>
      </c>
      <c r="B215" s="237" t="s">
        <v>209</v>
      </c>
      <c r="C215" s="44" t="s">
        <v>68</v>
      </c>
      <c r="D215" s="187" t="s">
        <v>5</v>
      </c>
      <c r="E215" s="187" t="s">
        <v>5</v>
      </c>
      <c r="F215" s="192">
        <f>50/1000</f>
        <v>0.05</v>
      </c>
      <c r="G215" s="7" t="s">
        <v>76</v>
      </c>
      <c r="H215" s="11">
        <f t="shared" si="3"/>
        <v>16.3</v>
      </c>
      <c r="I215" s="11"/>
      <c r="J215" s="11"/>
      <c r="K215" s="11"/>
      <c r="L215" s="11"/>
      <c r="M215" s="11"/>
      <c r="N215" s="11"/>
      <c r="O215" s="25"/>
      <c r="P215" s="25"/>
      <c r="Q215" s="25"/>
      <c r="R215" s="25">
        <v>16.3</v>
      </c>
      <c r="S215" s="72"/>
      <c r="T215" s="111">
        <f t="shared" si="5"/>
        <v>0</v>
      </c>
      <c r="U215" s="11"/>
      <c r="V215" s="11"/>
      <c r="W215" s="11"/>
      <c r="X215" s="11"/>
      <c r="Y215" s="11"/>
      <c r="Z215" s="74"/>
      <c r="AA215" s="70"/>
      <c r="AB215" s="70"/>
      <c r="AC215" s="70"/>
      <c r="AD215" s="70"/>
      <c r="AE215" s="75"/>
    </row>
    <row r="216" spans="1:31" ht="38.25" thickBot="1">
      <c r="A216" s="236"/>
      <c r="B216" s="238"/>
      <c r="C216" s="18" t="s">
        <v>8</v>
      </c>
      <c r="D216" s="188"/>
      <c r="E216" s="188"/>
      <c r="F216" s="194"/>
      <c r="G216" s="18" t="s">
        <v>175</v>
      </c>
      <c r="H216" s="5">
        <f t="shared" si="3"/>
        <v>325</v>
      </c>
      <c r="I216" s="5"/>
      <c r="J216" s="5"/>
      <c r="K216" s="5"/>
      <c r="L216" s="5"/>
      <c r="M216" s="5"/>
      <c r="N216" s="5"/>
      <c r="O216" s="17"/>
      <c r="P216" s="17"/>
      <c r="Q216" s="17"/>
      <c r="R216" s="17"/>
      <c r="S216" s="58">
        <v>325</v>
      </c>
      <c r="T216" s="59">
        <f t="shared" si="5"/>
        <v>0</v>
      </c>
      <c r="U216" s="5"/>
      <c r="V216" s="5"/>
      <c r="W216" s="5"/>
      <c r="X216" s="5"/>
      <c r="Y216" s="5"/>
      <c r="Z216" s="60"/>
      <c r="AA216" s="57"/>
      <c r="AB216" s="57"/>
      <c r="AC216" s="57"/>
      <c r="AD216" s="57"/>
      <c r="AE216" s="61"/>
    </row>
    <row r="217" spans="1:31" s="100" customFormat="1" ht="37.5">
      <c r="A217" s="235">
        <f>A215+1</f>
        <v>102</v>
      </c>
      <c r="B217" s="237" t="s">
        <v>210</v>
      </c>
      <c r="C217" s="44" t="s">
        <v>68</v>
      </c>
      <c r="D217" s="187" t="s">
        <v>5</v>
      </c>
      <c r="E217" s="187" t="s">
        <v>5</v>
      </c>
      <c r="F217" s="192">
        <f>100/1000</f>
        <v>0.1</v>
      </c>
      <c r="G217" s="7" t="s">
        <v>336</v>
      </c>
      <c r="H217" s="11">
        <f t="shared" si="3"/>
        <v>32.5</v>
      </c>
      <c r="I217" s="11"/>
      <c r="J217" s="11"/>
      <c r="K217" s="11"/>
      <c r="L217" s="11"/>
      <c r="M217" s="11"/>
      <c r="N217" s="11"/>
      <c r="O217" s="25"/>
      <c r="P217" s="25"/>
      <c r="Q217" s="25">
        <v>32.5</v>
      </c>
      <c r="R217" s="25"/>
      <c r="S217" s="72"/>
      <c r="T217" s="111">
        <f t="shared" si="5"/>
        <v>0</v>
      </c>
      <c r="U217" s="11"/>
      <c r="V217" s="11"/>
      <c r="W217" s="11"/>
      <c r="X217" s="11"/>
      <c r="Y217" s="11"/>
      <c r="Z217" s="74"/>
      <c r="AA217" s="70"/>
      <c r="AB217" s="70"/>
      <c r="AC217" s="70"/>
      <c r="AD217" s="70"/>
      <c r="AE217" s="75"/>
    </row>
    <row r="218" spans="1:31" ht="38.25" thickBot="1">
      <c r="A218" s="236"/>
      <c r="B218" s="238"/>
      <c r="C218" s="18" t="s">
        <v>8</v>
      </c>
      <c r="D218" s="188"/>
      <c r="E218" s="188"/>
      <c r="F218" s="194"/>
      <c r="G218" s="18" t="s">
        <v>164</v>
      </c>
      <c r="H218" s="5">
        <f t="shared" si="3"/>
        <v>650</v>
      </c>
      <c r="I218" s="5"/>
      <c r="J218" s="5"/>
      <c r="K218" s="5"/>
      <c r="L218" s="5"/>
      <c r="M218" s="5"/>
      <c r="N218" s="5"/>
      <c r="O218" s="17"/>
      <c r="P218" s="17"/>
      <c r="Q218" s="17"/>
      <c r="R218" s="17">
        <v>650</v>
      </c>
      <c r="S218" s="58"/>
      <c r="T218" s="59">
        <f t="shared" si="5"/>
        <v>0</v>
      </c>
      <c r="U218" s="5"/>
      <c r="V218" s="5"/>
      <c r="W218" s="5"/>
      <c r="X218" s="5"/>
      <c r="Y218" s="5"/>
      <c r="Z218" s="60"/>
      <c r="AA218" s="57"/>
      <c r="AB218" s="57"/>
      <c r="AC218" s="57"/>
      <c r="AD218" s="57"/>
      <c r="AE218" s="61"/>
    </row>
    <row r="219" spans="1:31" s="100" customFormat="1" ht="37.5">
      <c r="A219" s="235">
        <f>A217+1</f>
        <v>103</v>
      </c>
      <c r="B219" s="237" t="s">
        <v>211</v>
      </c>
      <c r="C219" s="44" t="s">
        <v>68</v>
      </c>
      <c r="D219" s="187" t="s">
        <v>5</v>
      </c>
      <c r="E219" s="187" t="s">
        <v>5</v>
      </c>
      <c r="F219" s="192">
        <f>100/1000</f>
        <v>0.1</v>
      </c>
      <c r="G219" s="7" t="s">
        <v>76</v>
      </c>
      <c r="H219" s="11">
        <f t="shared" si="3"/>
        <v>32.5</v>
      </c>
      <c r="I219" s="11"/>
      <c r="J219" s="11"/>
      <c r="K219" s="11"/>
      <c r="L219" s="11"/>
      <c r="M219" s="11"/>
      <c r="N219" s="11"/>
      <c r="O219" s="25"/>
      <c r="P219" s="25"/>
      <c r="Q219" s="25">
        <v>32.5</v>
      </c>
      <c r="R219" s="25"/>
      <c r="S219" s="72"/>
      <c r="T219" s="111">
        <f t="shared" si="5"/>
        <v>0</v>
      </c>
      <c r="U219" s="11"/>
      <c r="V219" s="11"/>
      <c r="W219" s="11"/>
      <c r="X219" s="11"/>
      <c r="Y219" s="11"/>
      <c r="Z219" s="74"/>
      <c r="AA219" s="70"/>
      <c r="AB219" s="70"/>
      <c r="AC219" s="70"/>
      <c r="AD219" s="70"/>
      <c r="AE219" s="75"/>
    </row>
    <row r="220" spans="1:31" ht="38.25" thickBot="1">
      <c r="A220" s="236"/>
      <c r="B220" s="238"/>
      <c r="C220" s="18" t="s">
        <v>8</v>
      </c>
      <c r="D220" s="188"/>
      <c r="E220" s="188"/>
      <c r="F220" s="194"/>
      <c r="G220" s="18" t="s">
        <v>164</v>
      </c>
      <c r="H220" s="5">
        <f t="shared" si="3"/>
        <v>650</v>
      </c>
      <c r="I220" s="5"/>
      <c r="J220" s="5"/>
      <c r="K220" s="5"/>
      <c r="L220" s="5"/>
      <c r="M220" s="5"/>
      <c r="N220" s="5"/>
      <c r="O220" s="17"/>
      <c r="P220" s="17"/>
      <c r="Q220" s="17"/>
      <c r="R220" s="17">
        <v>650</v>
      </c>
      <c r="S220" s="58"/>
      <c r="T220" s="59">
        <f t="shared" si="5"/>
        <v>0</v>
      </c>
      <c r="U220" s="5"/>
      <c r="V220" s="5"/>
      <c r="W220" s="5"/>
      <c r="X220" s="5"/>
      <c r="Y220" s="5"/>
      <c r="Z220" s="60"/>
      <c r="AA220" s="57"/>
      <c r="AB220" s="57"/>
      <c r="AC220" s="57"/>
      <c r="AD220" s="57"/>
      <c r="AE220" s="61"/>
    </row>
    <row r="221" spans="1:31" s="100" customFormat="1" ht="37.5">
      <c r="A221" s="235">
        <f>A219+1</f>
        <v>104</v>
      </c>
      <c r="B221" s="237" t="s">
        <v>212</v>
      </c>
      <c r="C221" s="44" t="s">
        <v>68</v>
      </c>
      <c r="D221" s="187" t="s">
        <v>5</v>
      </c>
      <c r="E221" s="187" t="s">
        <v>5</v>
      </c>
      <c r="F221" s="192">
        <f>100/1000</f>
        <v>0.1</v>
      </c>
      <c r="G221" s="7" t="s">
        <v>76</v>
      </c>
      <c r="H221" s="11">
        <f t="shared" si="3"/>
        <v>32.5</v>
      </c>
      <c r="I221" s="11"/>
      <c r="J221" s="11"/>
      <c r="K221" s="11"/>
      <c r="L221" s="11"/>
      <c r="M221" s="11"/>
      <c r="N221" s="11"/>
      <c r="O221" s="25"/>
      <c r="P221" s="25"/>
      <c r="Q221" s="25">
        <v>32.5</v>
      </c>
      <c r="R221" s="25"/>
      <c r="S221" s="72"/>
      <c r="T221" s="111">
        <f t="shared" si="5"/>
        <v>0</v>
      </c>
      <c r="U221" s="11"/>
      <c r="V221" s="11"/>
      <c r="W221" s="11"/>
      <c r="X221" s="11"/>
      <c r="Y221" s="11"/>
      <c r="Z221" s="74"/>
      <c r="AA221" s="70"/>
      <c r="AB221" s="70"/>
      <c r="AC221" s="70"/>
      <c r="AD221" s="70"/>
      <c r="AE221" s="75"/>
    </row>
    <row r="222" spans="1:31" ht="38.25" thickBot="1">
      <c r="A222" s="236"/>
      <c r="B222" s="238"/>
      <c r="C222" s="18" t="s">
        <v>8</v>
      </c>
      <c r="D222" s="188"/>
      <c r="E222" s="188"/>
      <c r="F222" s="194"/>
      <c r="G222" s="18" t="s">
        <v>164</v>
      </c>
      <c r="H222" s="5">
        <f t="shared" si="3"/>
        <v>650</v>
      </c>
      <c r="I222" s="5"/>
      <c r="J222" s="5"/>
      <c r="K222" s="5"/>
      <c r="L222" s="5"/>
      <c r="M222" s="5"/>
      <c r="N222" s="5"/>
      <c r="O222" s="17"/>
      <c r="P222" s="17"/>
      <c r="Q222" s="17"/>
      <c r="R222" s="17">
        <v>650</v>
      </c>
      <c r="S222" s="58"/>
      <c r="T222" s="59">
        <f t="shared" si="5"/>
        <v>0</v>
      </c>
      <c r="U222" s="5"/>
      <c r="V222" s="5"/>
      <c r="W222" s="5"/>
      <c r="X222" s="5"/>
      <c r="Y222" s="5"/>
      <c r="Z222" s="60"/>
      <c r="AA222" s="57"/>
      <c r="AB222" s="57"/>
      <c r="AC222" s="57"/>
      <c r="AD222" s="57"/>
      <c r="AE222" s="61"/>
    </row>
    <row r="223" spans="1:31" s="100" customFormat="1" ht="37.5">
      <c r="A223" s="235">
        <f>A221+1</f>
        <v>105</v>
      </c>
      <c r="B223" s="281" t="s">
        <v>213</v>
      </c>
      <c r="C223" s="44" t="s">
        <v>68</v>
      </c>
      <c r="D223" s="187" t="s">
        <v>5</v>
      </c>
      <c r="E223" s="187" t="s">
        <v>5</v>
      </c>
      <c r="F223" s="192">
        <f>150/1000</f>
        <v>0.15</v>
      </c>
      <c r="G223" s="7" t="s">
        <v>76</v>
      </c>
      <c r="H223" s="11">
        <f t="shared" si="3"/>
        <v>48.8</v>
      </c>
      <c r="I223" s="11"/>
      <c r="J223" s="11"/>
      <c r="K223" s="11"/>
      <c r="L223" s="11"/>
      <c r="M223" s="11"/>
      <c r="N223" s="11"/>
      <c r="O223" s="25"/>
      <c r="P223" s="25"/>
      <c r="Q223" s="25">
        <v>48.8</v>
      </c>
      <c r="R223" s="25"/>
      <c r="S223" s="72"/>
      <c r="T223" s="111">
        <f t="shared" si="5"/>
        <v>0</v>
      </c>
      <c r="U223" s="11"/>
      <c r="V223" s="11"/>
      <c r="W223" s="11"/>
      <c r="X223" s="11"/>
      <c r="Y223" s="11"/>
      <c r="Z223" s="74"/>
      <c r="AA223" s="70"/>
      <c r="AB223" s="70"/>
      <c r="AC223" s="70"/>
      <c r="AD223" s="70"/>
      <c r="AE223" s="75"/>
    </row>
    <row r="224" spans="1:31" ht="38.25" thickBot="1">
      <c r="A224" s="236"/>
      <c r="B224" s="282"/>
      <c r="C224" s="18" t="s">
        <v>8</v>
      </c>
      <c r="D224" s="188"/>
      <c r="E224" s="188"/>
      <c r="F224" s="194"/>
      <c r="G224" s="18" t="s">
        <v>164</v>
      </c>
      <c r="H224" s="5">
        <f t="shared" si="3"/>
        <v>975</v>
      </c>
      <c r="I224" s="5"/>
      <c r="J224" s="5"/>
      <c r="K224" s="5"/>
      <c r="L224" s="5"/>
      <c r="M224" s="5"/>
      <c r="N224" s="5"/>
      <c r="O224" s="17"/>
      <c r="P224" s="17"/>
      <c r="Q224" s="17"/>
      <c r="R224" s="17">
        <v>975</v>
      </c>
      <c r="S224" s="58"/>
      <c r="T224" s="59">
        <f t="shared" si="5"/>
        <v>0</v>
      </c>
      <c r="U224" s="5"/>
      <c r="V224" s="5"/>
      <c r="W224" s="5"/>
      <c r="X224" s="5"/>
      <c r="Y224" s="5"/>
      <c r="Z224" s="60"/>
      <c r="AA224" s="57"/>
      <c r="AB224" s="57"/>
      <c r="AC224" s="57"/>
      <c r="AD224" s="57"/>
      <c r="AE224" s="61"/>
    </row>
    <row r="225" spans="1:31" s="100" customFormat="1" ht="37.5">
      <c r="A225" s="235">
        <f>A223+1</f>
        <v>106</v>
      </c>
      <c r="B225" s="237" t="s">
        <v>214</v>
      </c>
      <c r="C225" s="44" t="s">
        <v>68</v>
      </c>
      <c r="D225" s="187" t="s">
        <v>5</v>
      </c>
      <c r="E225" s="187" t="s">
        <v>5</v>
      </c>
      <c r="F225" s="192">
        <f>130/1000</f>
        <v>0.13</v>
      </c>
      <c r="G225" s="7" t="s">
        <v>76</v>
      </c>
      <c r="H225" s="11">
        <f t="shared" si="3"/>
        <v>42.3</v>
      </c>
      <c r="I225" s="11"/>
      <c r="J225" s="11"/>
      <c r="K225" s="11"/>
      <c r="L225" s="11"/>
      <c r="M225" s="11"/>
      <c r="N225" s="11"/>
      <c r="O225" s="25"/>
      <c r="P225" s="25"/>
      <c r="Q225" s="25">
        <v>42.3</v>
      </c>
      <c r="R225" s="25"/>
      <c r="S225" s="72"/>
      <c r="T225" s="111">
        <f t="shared" si="5"/>
        <v>0</v>
      </c>
      <c r="U225" s="11"/>
      <c r="V225" s="11"/>
      <c r="W225" s="11"/>
      <c r="X225" s="11"/>
      <c r="Y225" s="11"/>
      <c r="Z225" s="74"/>
      <c r="AA225" s="70"/>
      <c r="AB225" s="70"/>
      <c r="AC225" s="70"/>
      <c r="AD225" s="70"/>
      <c r="AE225" s="75"/>
    </row>
    <row r="226" spans="1:31" ht="38.25" thickBot="1">
      <c r="A226" s="236"/>
      <c r="B226" s="238"/>
      <c r="C226" s="18" t="s">
        <v>8</v>
      </c>
      <c r="D226" s="188"/>
      <c r="E226" s="188"/>
      <c r="F226" s="194"/>
      <c r="G226" s="18" t="s">
        <v>164</v>
      </c>
      <c r="H226" s="5">
        <f t="shared" si="3"/>
        <v>845</v>
      </c>
      <c r="I226" s="5"/>
      <c r="J226" s="5"/>
      <c r="K226" s="5"/>
      <c r="L226" s="5"/>
      <c r="M226" s="5"/>
      <c r="N226" s="5"/>
      <c r="O226" s="17"/>
      <c r="P226" s="17"/>
      <c r="Q226" s="17"/>
      <c r="R226" s="17">
        <v>845</v>
      </c>
      <c r="S226" s="58"/>
      <c r="T226" s="59">
        <f t="shared" si="5"/>
        <v>0</v>
      </c>
      <c r="U226" s="5"/>
      <c r="V226" s="5"/>
      <c r="W226" s="5"/>
      <c r="X226" s="5"/>
      <c r="Y226" s="5"/>
      <c r="Z226" s="60"/>
      <c r="AA226" s="57"/>
      <c r="AB226" s="57"/>
      <c r="AC226" s="57"/>
      <c r="AD226" s="57"/>
      <c r="AE226" s="61"/>
    </row>
    <row r="227" spans="1:31" s="100" customFormat="1" ht="37.5">
      <c r="A227" s="235">
        <f>A225+1</f>
        <v>107</v>
      </c>
      <c r="B227" s="237" t="s">
        <v>215</v>
      </c>
      <c r="C227" s="44" t="s">
        <v>68</v>
      </c>
      <c r="D227" s="187" t="s">
        <v>5</v>
      </c>
      <c r="E227" s="187" t="s">
        <v>5</v>
      </c>
      <c r="F227" s="192">
        <f>100/1000</f>
        <v>0.1</v>
      </c>
      <c r="G227" s="7" t="s">
        <v>341</v>
      </c>
      <c r="H227" s="11">
        <f t="shared" si="3"/>
        <v>32.5</v>
      </c>
      <c r="I227" s="11"/>
      <c r="J227" s="11"/>
      <c r="K227" s="11"/>
      <c r="L227" s="11"/>
      <c r="M227" s="11"/>
      <c r="N227" s="11"/>
      <c r="O227" s="25"/>
      <c r="P227" s="25"/>
      <c r="Q227" s="25">
        <v>32.5</v>
      </c>
      <c r="R227" s="25"/>
      <c r="S227" s="72"/>
      <c r="T227" s="111">
        <f t="shared" si="5"/>
        <v>0</v>
      </c>
      <c r="U227" s="11"/>
      <c r="V227" s="11"/>
      <c r="W227" s="11"/>
      <c r="X227" s="11"/>
      <c r="Y227" s="11"/>
      <c r="Z227" s="74"/>
      <c r="AA227" s="70"/>
      <c r="AB227" s="70"/>
      <c r="AC227" s="70"/>
      <c r="AD227" s="70"/>
      <c r="AE227" s="75"/>
    </row>
    <row r="228" spans="1:31" ht="38.25" thickBot="1">
      <c r="A228" s="236"/>
      <c r="B228" s="238"/>
      <c r="C228" s="18" t="s">
        <v>8</v>
      </c>
      <c r="D228" s="188"/>
      <c r="E228" s="188"/>
      <c r="F228" s="194"/>
      <c r="G228" s="18" t="s">
        <v>164</v>
      </c>
      <c r="H228" s="5">
        <f t="shared" si="3"/>
        <v>650</v>
      </c>
      <c r="I228" s="5"/>
      <c r="J228" s="5"/>
      <c r="K228" s="5"/>
      <c r="L228" s="5"/>
      <c r="M228" s="5"/>
      <c r="N228" s="5"/>
      <c r="O228" s="17"/>
      <c r="P228" s="17"/>
      <c r="Q228" s="17"/>
      <c r="R228" s="17">
        <v>650</v>
      </c>
      <c r="S228" s="58"/>
      <c r="T228" s="59">
        <f t="shared" si="5"/>
        <v>0</v>
      </c>
      <c r="U228" s="5"/>
      <c r="V228" s="5"/>
      <c r="W228" s="5"/>
      <c r="X228" s="5"/>
      <c r="Y228" s="5"/>
      <c r="Z228" s="60"/>
      <c r="AA228" s="57"/>
      <c r="AB228" s="57"/>
      <c r="AC228" s="57"/>
      <c r="AD228" s="57"/>
      <c r="AE228" s="61"/>
    </row>
    <row r="229" spans="1:31" s="100" customFormat="1" ht="37.5">
      <c r="A229" s="235">
        <f>A227+1</f>
        <v>108</v>
      </c>
      <c r="B229" s="237" t="s">
        <v>216</v>
      </c>
      <c r="C229" s="44" t="s">
        <v>68</v>
      </c>
      <c r="D229" s="187" t="s">
        <v>5</v>
      </c>
      <c r="E229" s="187" t="s">
        <v>5</v>
      </c>
      <c r="F229" s="192">
        <f>130/1000</f>
        <v>0.13</v>
      </c>
      <c r="G229" s="7" t="s">
        <v>342</v>
      </c>
      <c r="H229" s="11">
        <f t="shared" si="3"/>
        <v>42.3</v>
      </c>
      <c r="I229" s="11"/>
      <c r="J229" s="11"/>
      <c r="K229" s="11"/>
      <c r="L229" s="11"/>
      <c r="M229" s="11"/>
      <c r="N229" s="11"/>
      <c r="O229" s="25"/>
      <c r="P229" s="25"/>
      <c r="Q229" s="25"/>
      <c r="R229" s="25">
        <v>42.3</v>
      </c>
      <c r="S229" s="72"/>
      <c r="T229" s="111">
        <f t="shared" si="5"/>
        <v>0</v>
      </c>
      <c r="U229" s="11"/>
      <c r="V229" s="11"/>
      <c r="W229" s="11"/>
      <c r="X229" s="11"/>
      <c r="Y229" s="11"/>
      <c r="Z229" s="74"/>
      <c r="AA229" s="70"/>
      <c r="AB229" s="70"/>
      <c r="AC229" s="70"/>
      <c r="AD229" s="70"/>
      <c r="AE229" s="75"/>
    </row>
    <row r="230" spans="1:31" ht="38.25" thickBot="1">
      <c r="A230" s="236"/>
      <c r="B230" s="238"/>
      <c r="C230" s="18" t="s">
        <v>8</v>
      </c>
      <c r="D230" s="188"/>
      <c r="E230" s="188"/>
      <c r="F230" s="194"/>
      <c r="G230" s="18" t="s">
        <v>175</v>
      </c>
      <c r="H230" s="5">
        <f t="shared" si="3"/>
        <v>845</v>
      </c>
      <c r="I230" s="5"/>
      <c r="J230" s="5"/>
      <c r="K230" s="5"/>
      <c r="L230" s="5"/>
      <c r="M230" s="5"/>
      <c r="N230" s="5"/>
      <c r="O230" s="17"/>
      <c r="P230" s="17"/>
      <c r="Q230" s="17"/>
      <c r="R230" s="17"/>
      <c r="S230" s="58">
        <v>845</v>
      </c>
      <c r="T230" s="59">
        <f t="shared" si="5"/>
        <v>0</v>
      </c>
      <c r="U230" s="5"/>
      <c r="V230" s="5"/>
      <c r="W230" s="5"/>
      <c r="X230" s="5"/>
      <c r="Y230" s="5"/>
      <c r="Z230" s="60"/>
      <c r="AA230" s="57"/>
      <c r="AB230" s="57"/>
      <c r="AC230" s="57"/>
      <c r="AD230" s="57"/>
      <c r="AE230" s="61"/>
    </row>
    <row r="231" spans="1:31" s="100" customFormat="1" ht="37.5">
      <c r="A231" s="235">
        <f>A229+1</f>
        <v>109</v>
      </c>
      <c r="B231" s="237" t="s">
        <v>217</v>
      </c>
      <c r="C231" s="44" t="s">
        <v>68</v>
      </c>
      <c r="D231" s="187" t="s">
        <v>5</v>
      </c>
      <c r="E231" s="187" t="s">
        <v>5</v>
      </c>
      <c r="F231" s="192">
        <f>50/1000</f>
        <v>0.05</v>
      </c>
      <c r="G231" s="7" t="s">
        <v>76</v>
      </c>
      <c r="H231" s="11">
        <f t="shared" si="3"/>
        <v>16.3</v>
      </c>
      <c r="I231" s="11"/>
      <c r="J231" s="11"/>
      <c r="K231" s="11"/>
      <c r="L231" s="11"/>
      <c r="M231" s="11"/>
      <c r="N231" s="11"/>
      <c r="O231" s="25"/>
      <c r="P231" s="25"/>
      <c r="Q231" s="25">
        <v>16.3</v>
      </c>
      <c r="R231" s="25"/>
      <c r="S231" s="72"/>
      <c r="T231" s="111">
        <f t="shared" si="5"/>
        <v>0</v>
      </c>
      <c r="U231" s="11"/>
      <c r="V231" s="11"/>
      <c r="W231" s="11"/>
      <c r="X231" s="11"/>
      <c r="Y231" s="11"/>
      <c r="Z231" s="74"/>
      <c r="AA231" s="70"/>
      <c r="AB231" s="70"/>
      <c r="AC231" s="70"/>
      <c r="AD231" s="70"/>
      <c r="AE231" s="75"/>
    </row>
    <row r="232" spans="1:31" ht="38.25" thickBot="1">
      <c r="A232" s="236"/>
      <c r="B232" s="238"/>
      <c r="C232" s="18" t="s">
        <v>8</v>
      </c>
      <c r="D232" s="188"/>
      <c r="E232" s="188"/>
      <c r="F232" s="194"/>
      <c r="G232" s="18" t="s">
        <v>164</v>
      </c>
      <c r="H232" s="5">
        <f t="shared" si="3"/>
        <v>325</v>
      </c>
      <c r="I232" s="5"/>
      <c r="J232" s="5"/>
      <c r="K232" s="5"/>
      <c r="L232" s="5"/>
      <c r="M232" s="5"/>
      <c r="N232" s="5"/>
      <c r="O232" s="17"/>
      <c r="P232" s="17"/>
      <c r="Q232" s="17"/>
      <c r="R232" s="17">
        <v>325</v>
      </c>
      <c r="S232" s="58"/>
      <c r="T232" s="59">
        <f t="shared" si="5"/>
        <v>0</v>
      </c>
      <c r="U232" s="5"/>
      <c r="V232" s="5"/>
      <c r="W232" s="5"/>
      <c r="X232" s="5"/>
      <c r="Y232" s="5"/>
      <c r="Z232" s="60"/>
      <c r="AA232" s="57"/>
      <c r="AB232" s="57"/>
      <c r="AC232" s="57"/>
      <c r="AD232" s="57"/>
      <c r="AE232" s="61"/>
    </row>
    <row r="233" spans="1:31" s="100" customFormat="1" ht="37.5">
      <c r="A233" s="235">
        <f>A231+1</f>
        <v>110</v>
      </c>
      <c r="B233" s="237" t="s">
        <v>218</v>
      </c>
      <c r="C233" s="44" t="s">
        <v>68</v>
      </c>
      <c r="D233" s="187" t="s">
        <v>5</v>
      </c>
      <c r="E233" s="187" t="s">
        <v>5</v>
      </c>
      <c r="F233" s="192">
        <f>50/1000</f>
        <v>0.05</v>
      </c>
      <c r="G233" s="7" t="s">
        <v>76</v>
      </c>
      <c r="H233" s="11">
        <f t="shared" si="3"/>
        <v>16.3</v>
      </c>
      <c r="I233" s="11"/>
      <c r="J233" s="11"/>
      <c r="K233" s="11"/>
      <c r="L233" s="11"/>
      <c r="M233" s="11"/>
      <c r="N233" s="11"/>
      <c r="O233" s="25"/>
      <c r="P233" s="25"/>
      <c r="Q233" s="25">
        <v>16.3</v>
      </c>
      <c r="R233" s="25"/>
      <c r="S233" s="72"/>
      <c r="T233" s="111">
        <f t="shared" si="5"/>
        <v>0</v>
      </c>
      <c r="U233" s="11"/>
      <c r="V233" s="11"/>
      <c r="W233" s="11"/>
      <c r="X233" s="11"/>
      <c r="Y233" s="11"/>
      <c r="Z233" s="74"/>
      <c r="AA233" s="70"/>
      <c r="AB233" s="70"/>
      <c r="AC233" s="70"/>
      <c r="AD233" s="70"/>
      <c r="AE233" s="75"/>
    </row>
    <row r="234" spans="1:31" ht="38.25" thickBot="1">
      <c r="A234" s="236"/>
      <c r="B234" s="238"/>
      <c r="C234" s="18" t="s">
        <v>8</v>
      </c>
      <c r="D234" s="188"/>
      <c r="E234" s="188"/>
      <c r="F234" s="194"/>
      <c r="G234" s="18" t="s">
        <v>164</v>
      </c>
      <c r="H234" s="5">
        <f t="shared" si="3"/>
        <v>325</v>
      </c>
      <c r="I234" s="5"/>
      <c r="J234" s="5"/>
      <c r="K234" s="5"/>
      <c r="L234" s="5"/>
      <c r="M234" s="5"/>
      <c r="N234" s="5"/>
      <c r="O234" s="17"/>
      <c r="P234" s="17"/>
      <c r="Q234" s="17"/>
      <c r="R234" s="17">
        <v>325</v>
      </c>
      <c r="S234" s="58"/>
      <c r="T234" s="59">
        <f t="shared" si="5"/>
        <v>0</v>
      </c>
      <c r="U234" s="5"/>
      <c r="V234" s="5"/>
      <c r="W234" s="5"/>
      <c r="X234" s="5"/>
      <c r="Y234" s="5"/>
      <c r="Z234" s="60"/>
      <c r="AA234" s="57"/>
      <c r="AB234" s="57"/>
      <c r="AC234" s="57"/>
      <c r="AD234" s="57"/>
      <c r="AE234" s="61"/>
    </row>
    <row r="235" spans="1:31" s="100" customFormat="1" ht="37.5">
      <c r="A235" s="235">
        <f>A233+1</f>
        <v>111</v>
      </c>
      <c r="B235" s="237" t="s">
        <v>219</v>
      </c>
      <c r="C235" s="44" t="s">
        <v>68</v>
      </c>
      <c r="D235" s="187" t="s">
        <v>5</v>
      </c>
      <c r="E235" s="187" t="s">
        <v>5</v>
      </c>
      <c r="F235" s="192">
        <f>50/1000</f>
        <v>0.05</v>
      </c>
      <c r="G235" s="7" t="s">
        <v>76</v>
      </c>
      <c r="H235" s="11">
        <f aca="true" t="shared" si="6" ref="H235:H378">SUM(I235:S235)</f>
        <v>16.3</v>
      </c>
      <c r="I235" s="11"/>
      <c r="J235" s="11"/>
      <c r="K235" s="11"/>
      <c r="L235" s="11"/>
      <c r="M235" s="11"/>
      <c r="N235" s="11"/>
      <c r="O235" s="25"/>
      <c r="P235" s="25"/>
      <c r="Q235" s="25"/>
      <c r="R235" s="25">
        <v>16.3</v>
      </c>
      <c r="S235" s="72"/>
      <c r="T235" s="111">
        <f t="shared" si="5"/>
        <v>0</v>
      </c>
      <c r="U235" s="11"/>
      <c r="V235" s="11"/>
      <c r="W235" s="11"/>
      <c r="X235" s="11"/>
      <c r="Y235" s="11"/>
      <c r="Z235" s="74"/>
      <c r="AA235" s="70"/>
      <c r="AB235" s="70"/>
      <c r="AC235" s="70"/>
      <c r="AD235" s="70"/>
      <c r="AE235" s="75"/>
    </row>
    <row r="236" spans="1:31" ht="38.25" thickBot="1">
      <c r="A236" s="236"/>
      <c r="B236" s="238"/>
      <c r="C236" s="18" t="s">
        <v>8</v>
      </c>
      <c r="D236" s="188"/>
      <c r="E236" s="188"/>
      <c r="F236" s="194"/>
      <c r="G236" s="18" t="s">
        <v>175</v>
      </c>
      <c r="H236" s="5">
        <f t="shared" si="6"/>
        <v>325</v>
      </c>
      <c r="I236" s="5"/>
      <c r="J236" s="5"/>
      <c r="K236" s="5"/>
      <c r="L236" s="5"/>
      <c r="M236" s="5"/>
      <c r="N236" s="5"/>
      <c r="O236" s="17"/>
      <c r="P236" s="17"/>
      <c r="Q236" s="17"/>
      <c r="R236" s="17"/>
      <c r="S236" s="58">
        <v>325</v>
      </c>
      <c r="T236" s="59">
        <f t="shared" si="5"/>
        <v>0</v>
      </c>
      <c r="U236" s="5"/>
      <c r="V236" s="5"/>
      <c r="W236" s="5"/>
      <c r="X236" s="5"/>
      <c r="Y236" s="5"/>
      <c r="Z236" s="60"/>
      <c r="AA236" s="57"/>
      <c r="AB236" s="57"/>
      <c r="AC236" s="57"/>
      <c r="AD236" s="57"/>
      <c r="AE236" s="61"/>
    </row>
    <row r="237" spans="1:31" s="100" customFormat="1" ht="37.5">
      <c r="A237" s="235">
        <f>A235+1</f>
        <v>112</v>
      </c>
      <c r="B237" s="237" t="s">
        <v>220</v>
      </c>
      <c r="C237" s="44" t="s">
        <v>68</v>
      </c>
      <c r="D237" s="187" t="s">
        <v>5</v>
      </c>
      <c r="E237" s="187" t="s">
        <v>5</v>
      </c>
      <c r="F237" s="192">
        <f>50/1000</f>
        <v>0.05</v>
      </c>
      <c r="G237" s="7" t="s">
        <v>343</v>
      </c>
      <c r="H237" s="11">
        <f t="shared" si="6"/>
        <v>16.3</v>
      </c>
      <c r="I237" s="11"/>
      <c r="J237" s="11"/>
      <c r="K237" s="11"/>
      <c r="L237" s="11"/>
      <c r="M237" s="11"/>
      <c r="N237" s="11"/>
      <c r="O237" s="25"/>
      <c r="P237" s="25"/>
      <c r="Q237" s="25">
        <v>16.3</v>
      </c>
      <c r="R237" s="25"/>
      <c r="S237" s="72"/>
      <c r="T237" s="111">
        <f aca="true" t="shared" si="7" ref="T237:T300">SUM(U237:AE237)</f>
        <v>0</v>
      </c>
      <c r="U237" s="11"/>
      <c r="V237" s="11"/>
      <c r="W237" s="11"/>
      <c r="X237" s="11"/>
      <c r="Y237" s="11"/>
      <c r="Z237" s="74"/>
      <c r="AA237" s="70"/>
      <c r="AB237" s="70"/>
      <c r="AC237" s="70"/>
      <c r="AD237" s="70"/>
      <c r="AE237" s="75"/>
    </row>
    <row r="238" spans="1:31" ht="38.25" thickBot="1">
      <c r="A238" s="236"/>
      <c r="B238" s="238"/>
      <c r="C238" s="18" t="s">
        <v>8</v>
      </c>
      <c r="D238" s="188"/>
      <c r="E238" s="188"/>
      <c r="F238" s="194"/>
      <c r="G238" s="18" t="s">
        <v>164</v>
      </c>
      <c r="H238" s="5">
        <f t="shared" si="6"/>
        <v>325</v>
      </c>
      <c r="I238" s="5"/>
      <c r="J238" s="5"/>
      <c r="K238" s="5"/>
      <c r="L238" s="5"/>
      <c r="M238" s="5"/>
      <c r="N238" s="5"/>
      <c r="O238" s="17"/>
      <c r="P238" s="17"/>
      <c r="Q238" s="17"/>
      <c r="R238" s="17">
        <v>325</v>
      </c>
      <c r="S238" s="58"/>
      <c r="T238" s="59">
        <f t="shared" si="7"/>
        <v>0</v>
      </c>
      <c r="U238" s="5"/>
      <c r="V238" s="5"/>
      <c r="W238" s="5"/>
      <c r="X238" s="5"/>
      <c r="Y238" s="5"/>
      <c r="Z238" s="60"/>
      <c r="AA238" s="57"/>
      <c r="AB238" s="57"/>
      <c r="AC238" s="57"/>
      <c r="AD238" s="57"/>
      <c r="AE238" s="61"/>
    </row>
    <row r="239" spans="1:31" s="100" customFormat="1" ht="37.5">
      <c r="A239" s="235">
        <f>A237+1</f>
        <v>113</v>
      </c>
      <c r="B239" s="237" t="s">
        <v>221</v>
      </c>
      <c r="C239" s="44" t="s">
        <v>68</v>
      </c>
      <c r="D239" s="187" t="s">
        <v>5</v>
      </c>
      <c r="E239" s="187" t="s">
        <v>5</v>
      </c>
      <c r="F239" s="192">
        <f>30/1000</f>
        <v>0.03</v>
      </c>
      <c r="G239" s="7" t="s">
        <v>76</v>
      </c>
      <c r="H239" s="11">
        <f t="shared" si="6"/>
        <v>9.8</v>
      </c>
      <c r="I239" s="11"/>
      <c r="J239" s="11"/>
      <c r="K239" s="11"/>
      <c r="L239" s="11"/>
      <c r="M239" s="11"/>
      <c r="N239" s="11"/>
      <c r="O239" s="25"/>
      <c r="P239" s="25"/>
      <c r="Q239" s="25">
        <v>9.8</v>
      </c>
      <c r="R239" s="25"/>
      <c r="S239" s="72"/>
      <c r="T239" s="111">
        <f t="shared" si="7"/>
        <v>0</v>
      </c>
      <c r="U239" s="11"/>
      <c r="V239" s="11"/>
      <c r="W239" s="11"/>
      <c r="X239" s="11"/>
      <c r="Y239" s="11"/>
      <c r="Z239" s="74"/>
      <c r="AA239" s="70"/>
      <c r="AB239" s="70"/>
      <c r="AC239" s="70"/>
      <c r="AD239" s="70"/>
      <c r="AE239" s="75"/>
    </row>
    <row r="240" spans="1:31" ht="38.25" thickBot="1">
      <c r="A240" s="236"/>
      <c r="B240" s="238"/>
      <c r="C240" s="18" t="s">
        <v>8</v>
      </c>
      <c r="D240" s="188"/>
      <c r="E240" s="188"/>
      <c r="F240" s="194"/>
      <c r="G240" s="18" t="s">
        <v>164</v>
      </c>
      <c r="H240" s="5">
        <f t="shared" si="6"/>
        <v>195</v>
      </c>
      <c r="I240" s="5"/>
      <c r="J240" s="5"/>
      <c r="K240" s="5"/>
      <c r="L240" s="5"/>
      <c r="M240" s="5"/>
      <c r="N240" s="5"/>
      <c r="O240" s="17"/>
      <c r="P240" s="17"/>
      <c r="Q240" s="17"/>
      <c r="R240" s="17">
        <v>195</v>
      </c>
      <c r="S240" s="58"/>
      <c r="T240" s="59">
        <f t="shared" si="7"/>
        <v>0</v>
      </c>
      <c r="U240" s="5"/>
      <c r="V240" s="5"/>
      <c r="W240" s="5"/>
      <c r="X240" s="5"/>
      <c r="Y240" s="5"/>
      <c r="Z240" s="60"/>
      <c r="AA240" s="57"/>
      <c r="AB240" s="57"/>
      <c r="AC240" s="57"/>
      <c r="AD240" s="57"/>
      <c r="AE240" s="61"/>
    </row>
    <row r="241" spans="1:31" s="100" customFormat="1" ht="37.5">
      <c r="A241" s="235">
        <f>A239+1</f>
        <v>114</v>
      </c>
      <c r="B241" s="237" t="s">
        <v>222</v>
      </c>
      <c r="C241" s="44" t="s">
        <v>68</v>
      </c>
      <c r="D241" s="187" t="s">
        <v>5</v>
      </c>
      <c r="E241" s="187" t="s">
        <v>5</v>
      </c>
      <c r="F241" s="192">
        <f>80/1000</f>
        <v>0.08</v>
      </c>
      <c r="G241" s="7" t="s">
        <v>76</v>
      </c>
      <c r="H241" s="11">
        <f t="shared" si="6"/>
        <v>26</v>
      </c>
      <c r="I241" s="11"/>
      <c r="J241" s="11"/>
      <c r="K241" s="11"/>
      <c r="L241" s="11"/>
      <c r="M241" s="11"/>
      <c r="N241" s="11"/>
      <c r="O241" s="25"/>
      <c r="P241" s="25"/>
      <c r="Q241" s="25"/>
      <c r="R241" s="25">
        <v>26</v>
      </c>
      <c r="S241" s="72"/>
      <c r="T241" s="111">
        <f t="shared" si="7"/>
        <v>0</v>
      </c>
      <c r="U241" s="11"/>
      <c r="V241" s="11"/>
      <c r="W241" s="11"/>
      <c r="X241" s="11"/>
      <c r="Y241" s="11"/>
      <c r="Z241" s="74"/>
      <c r="AA241" s="70"/>
      <c r="AB241" s="70"/>
      <c r="AC241" s="70"/>
      <c r="AD241" s="70"/>
      <c r="AE241" s="75"/>
    </row>
    <row r="242" spans="1:31" ht="38.25" thickBot="1">
      <c r="A242" s="236"/>
      <c r="B242" s="238"/>
      <c r="C242" s="18" t="s">
        <v>8</v>
      </c>
      <c r="D242" s="188"/>
      <c r="E242" s="188"/>
      <c r="F242" s="194"/>
      <c r="G242" s="18" t="s">
        <v>175</v>
      </c>
      <c r="H242" s="5">
        <f t="shared" si="6"/>
        <v>520</v>
      </c>
      <c r="I242" s="5"/>
      <c r="J242" s="5"/>
      <c r="K242" s="5"/>
      <c r="L242" s="5"/>
      <c r="M242" s="5"/>
      <c r="N242" s="5"/>
      <c r="O242" s="17"/>
      <c r="P242" s="17"/>
      <c r="Q242" s="17"/>
      <c r="R242" s="17"/>
      <c r="S242" s="58">
        <v>520</v>
      </c>
      <c r="T242" s="59">
        <f t="shared" si="7"/>
        <v>0</v>
      </c>
      <c r="U242" s="5"/>
      <c r="V242" s="5"/>
      <c r="W242" s="5"/>
      <c r="X242" s="5"/>
      <c r="Y242" s="5"/>
      <c r="Z242" s="60"/>
      <c r="AA242" s="57"/>
      <c r="AB242" s="57"/>
      <c r="AC242" s="57"/>
      <c r="AD242" s="57"/>
      <c r="AE242" s="61"/>
    </row>
    <row r="243" spans="1:31" s="100" customFormat="1" ht="37.5">
      <c r="A243" s="235">
        <f>A241+1</f>
        <v>115</v>
      </c>
      <c r="B243" s="237" t="s">
        <v>223</v>
      </c>
      <c r="C243" s="44" t="s">
        <v>68</v>
      </c>
      <c r="D243" s="187" t="s">
        <v>5</v>
      </c>
      <c r="E243" s="187" t="s">
        <v>5</v>
      </c>
      <c r="F243" s="192">
        <f>60/1000</f>
        <v>0.06</v>
      </c>
      <c r="G243" s="7" t="s">
        <v>76</v>
      </c>
      <c r="H243" s="11">
        <f t="shared" si="6"/>
        <v>19.5</v>
      </c>
      <c r="I243" s="11"/>
      <c r="J243" s="11"/>
      <c r="K243" s="11"/>
      <c r="L243" s="11"/>
      <c r="M243" s="11"/>
      <c r="N243" s="11"/>
      <c r="O243" s="25"/>
      <c r="P243" s="25"/>
      <c r="Q243" s="25"/>
      <c r="R243" s="25">
        <v>19.5</v>
      </c>
      <c r="S243" s="72"/>
      <c r="T243" s="111">
        <f t="shared" si="7"/>
        <v>0</v>
      </c>
      <c r="U243" s="11"/>
      <c r="V243" s="11"/>
      <c r="W243" s="11"/>
      <c r="X243" s="11"/>
      <c r="Y243" s="11"/>
      <c r="Z243" s="74"/>
      <c r="AA243" s="70"/>
      <c r="AB243" s="70"/>
      <c r="AC243" s="70"/>
      <c r="AD243" s="70"/>
      <c r="AE243" s="75"/>
    </row>
    <row r="244" spans="1:31" ht="38.25" thickBot="1">
      <c r="A244" s="236"/>
      <c r="B244" s="238"/>
      <c r="C244" s="18" t="s">
        <v>8</v>
      </c>
      <c r="D244" s="188"/>
      <c r="E244" s="188"/>
      <c r="F244" s="194"/>
      <c r="G244" s="18" t="s">
        <v>175</v>
      </c>
      <c r="H244" s="5">
        <f t="shared" si="6"/>
        <v>390</v>
      </c>
      <c r="I244" s="5"/>
      <c r="J244" s="5"/>
      <c r="K244" s="5"/>
      <c r="L244" s="5"/>
      <c r="M244" s="5"/>
      <c r="N244" s="5"/>
      <c r="O244" s="17"/>
      <c r="P244" s="17"/>
      <c r="Q244" s="17"/>
      <c r="R244" s="17"/>
      <c r="S244" s="58">
        <v>390</v>
      </c>
      <c r="T244" s="59">
        <f t="shared" si="7"/>
        <v>0</v>
      </c>
      <c r="U244" s="5"/>
      <c r="V244" s="5"/>
      <c r="W244" s="5"/>
      <c r="X244" s="5"/>
      <c r="Y244" s="5"/>
      <c r="Z244" s="60"/>
      <c r="AA244" s="57"/>
      <c r="AB244" s="57"/>
      <c r="AC244" s="57"/>
      <c r="AD244" s="57"/>
      <c r="AE244" s="61"/>
    </row>
    <row r="245" spans="1:31" s="100" customFormat="1" ht="37.5">
      <c r="A245" s="235">
        <f>A243+1</f>
        <v>116</v>
      </c>
      <c r="B245" s="237" t="s">
        <v>224</v>
      </c>
      <c r="C245" s="44" t="s">
        <v>68</v>
      </c>
      <c r="D245" s="187" t="s">
        <v>5</v>
      </c>
      <c r="E245" s="187" t="s">
        <v>5</v>
      </c>
      <c r="F245" s="192">
        <f>50/1000</f>
        <v>0.05</v>
      </c>
      <c r="G245" s="7" t="s">
        <v>76</v>
      </c>
      <c r="H245" s="11">
        <f t="shared" si="6"/>
        <v>16.3</v>
      </c>
      <c r="I245" s="11"/>
      <c r="J245" s="11"/>
      <c r="K245" s="11"/>
      <c r="L245" s="11"/>
      <c r="M245" s="11"/>
      <c r="N245" s="11"/>
      <c r="O245" s="25"/>
      <c r="P245" s="25"/>
      <c r="Q245" s="25">
        <v>16.3</v>
      </c>
      <c r="R245" s="25"/>
      <c r="S245" s="72"/>
      <c r="T245" s="111">
        <f t="shared" si="7"/>
        <v>0</v>
      </c>
      <c r="U245" s="11"/>
      <c r="V245" s="11"/>
      <c r="W245" s="11"/>
      <c r="X245" s="11"/>
      <c r="Y245" s="11"/>
      <c r="Z245" s="74"/>
      <c r="AA245" s="70"/>
      <c r="AB245" s="70"/>
      <c r="AC245" s="70"/>
      <c r="AD245" s="70"/>
      <c r="AE245" s="75"/>
    </row>
    <row r="246" spans="1:31" ht="38.25" thickBot="1">
      <c r="A246" s="236"/>
      <c r="B246" s="238"/>
      <c r="C246" s="18" t="s">
        <v>8</v>
      </c>
      <c r="D246" s="188"/>
      <c r="E246" s="188"/>
      <c r="F246" s="194"/>
      <c r="G246" s="18" t="s">
        <v>164</v>
      </c>
      <c r="H246" s="5">
        <f t="shared" si="6"/>
        <v>325</v>
      </c>
      <c r="I246" s="5"/>
      <c r="J246" s="5"/>
      <c r="K246" s="5"/>
      <c r="L246" s="5"/>
      <c r="M246" s="5"/>
      <c r="N246" s="5"/>
      <c r="O246" s="17"/>
      <c r="P246" s="17"/>
      <c r="Q246" s="17"/>
      <c r="R246" s="17">
        <v>325</v>
      </c>
      <c r="S246" s="58"/>
      <c r="T246" s="59">
        <f t="shared" si="7"/>
        <v>0</v>
      </c>
      <c r="U246" s="5"/>
      <c r="V246" s="5"/>
      <c r="W246" s="5"/>
      <c r="X246" s="5"/>
      <c r="Y246" s="5"/>
      <c r="Z246" s="60"/>
      <c r="AA246" s="57"/>
      <c r="AB246" s="57"/>
      <c r="AC246" s="57"/>
      <c r="AD246" s="57"/>
      <c r="AE246" s="61"/>
    </row>
    <row r="247" spans="1:31" s="100" customFormat="1" ht="37.5">
      <c r="A247" s="235">
        <f>A245+1</f>
        <v>117</v>
      </c>
      <c r="B247" s="237" t="s">
        <v>225</v>
      </c>
      <c r="C247" s="44" t="s">
        <v>68</v>
      </c>
      <c r="D247" s="187" t="s">
        <v>5</v>
      </c>
      <c r="E247" s="187" t="s">
        <v>5</v>
      </c>
      <c r="F247" s="192">
        <f>90/1000</f>
        <v>0.09</v>
      </c>
      <c r="G247" s="7" t="s">
        <v>76</v>
      </c>
      <c r="H247" s="11">
        <f t="shared" si="6"/>
        <v>29.3</v>
      </c>
      <c r="I247" s="11"/>
      <c r="J247" s="11"/>
      <c r="K247" s="11"/>
      <c r="L247" s="11"/>
      <c r="M247" s="11"/>
      <c r="N247" s="11"/>
      <c r="O247" s="25"/>
      <c r="P247" s="25"/>
      <c r="Q247" s="25">
        <v>29.3</v>
      </c>
      <c r="R247" s="25"/>
      <c r="S247" s="72"/>
      <c r="T247" s="111">
        <f t="shared" si="7"/>
        <v>0</v>
      </c>
      <c r="U247" s="11"/>
      <c r="V247" s="11"/>
      <c r="W247" s="11"/>
      <c r="X247" s="11"/>
      <c r="Y247" s="11"/>
      <c r="Z247" s="74"/>
      <c r="AA247" s="70"/>
      <c r="AB247" s="70"/>
      <c r="AC247" s="70"/>
      <c r="AD247" s="70"/>
      <c r="AE247" s="75"/>
    </row>
    <row r="248" spans="1:31" ht="38.25" thickBot="1">
      <c r="A248" s="236"/>
      <c r="B248" s="238"/>
      <c r="C248" s="18" t="s">
        <v>8</v>
      </c>
      <c r="D248" s="188"/>
      <c r="E248" s="188"/>
      <c r="F248" s="194"/>
      <c r="G248" s="18" t="s">
        <v>164</v>
      </c>
      <c r="H248" s="5">
        <f t="shared" si="6"/>
        <v>585</v>
      </c>
      <c r="I248" s="5"/>
      <c r="J248" s="5"/>
      <c r="K248" s="5"/>
      <c r="L248" s="5"/>
      <c r="M248" s="5"/>
      <c r="N248" s="5"/>
      <c r="O248" s="17"/>
      <c r="P248" s="17"/>
      <c r="Q248" s="17"/>
      <c r="R248" s="17">
        <v>585</v>
      </c>
      <c r="S248" s="58"/>
      <c r="T248" s="59">
        <f t="shared" si="7"/>
        <v>0</v>
      </c>
      <c r="U248" s="5"/>
      <c r="V248" s="5"/>
      <c r="W248" s="5"/>
      <c r="X248" s="5"/>
      <c r="Y248" s="5"/>
      <c r="Z248" s="60"/>
      <c r="AA248" s="57"/>
      <c r="AB248" s="57"/>
      <c r="AC248" s="57"/>
      <c r="AD248" s="57"/>
      <c r="AE248" s="61"/>
    </row>
    <row r="249" spans="1:31" s="100" customFormat="1" ht="37.5">
      <c r="A249" s="235">
        <f>A247+1</f>
        <v>118</v>
      </c>
      <c r="B249" s="237" t="s">
        <v>226</v>
      </c>
      <c r="C249" s="44" t="s">
        <v>68</v>
      </c>
      <c r="D249" s="187" t="s">
        <v>5</v>
      </c>
      <c r="E249" s="187" t="s">
        <v>5</v>
      </c>
      <c r="F249" s="192">
        <f>1000/1000</f>
        <v>1</v>
      </c>
      <c r="G249" s="7" t="s">
        <v>76</v>
      </c>
      <c r="H249" s="11">
        <f t="shared" si="6"/>
        <v>325</v>
      </c>
      <c r="I249" s="11"/>
      <c r="J249" s="11"/>
      <c r="K249" s="11"/>
      <c r="L249" s="11"/>
      <c r="M249" s="11"/>
      <c r="N249" s="11"/>
      <c r="O249" s="25"/>
      <c r="P249" s="25"/>
      <c r="Q249" s="25">
        <v>325</v>
      </c>
      <c r="R249" s="25"/>
      <c r="S249" s="72"/>
      <c r="T249" s="111">
        <f t="shared" si="7"/>
        <v>0</v>
      </c>
      <c r="U249" s="11"/>
      <c r="V249" s="11"/>
      <c r="W249" s="11"/>
      <c r="X249" s="11"/>
      <c r="Y249" s="11"/>
      <c r="Z249" s="74"/>
      <c r="AA249" s="70"/>
      <c r="AB249" s="70"/>
      <c r="AC249" s="70"/>
      <c r="AD249" s="70"/>
      <c r="AE249" s="75"/>
    </row>
    <row r="250" spans="1:31" ht="38.25" thickBot="1">
      <c r="A250" s="236"/>
      <c r="B250" s="238"/>
      <c r="C250" s="18" t="s">
        <v>8</v>
      </c>
      <c r="D250" s="188"/>
      <c r="E250" s="188"/>
      <c r="F250" s="194"/>
      <c r="G250" s="18" t="s">
        <v>164</v>
      </c>
      <c r="H250" s="5">
        <f t="shared" si="6"/>
        <v>6500</v>
      </c>
      <c r="I250" s="5"/>
      <c r="J250" s="5"/>
      <c r="K250" s="5"/>
      <c r="L250" s="5"/>
      <c r="M250" s="5"/>
      <c r="N250" s="5"/>
      <c r="O250" s="17"/>
      <c r="P250" s="17"/>
      <c r="Q250" s="17"/>
      <c r="R250" s="17">
        <v>6500</v>
      </c>
      <c r="S250" s="58"/>
      <c r="T250" s="59">
        <f t="shared" si="7"/>
        <v>0</v>
      </c>
      <c r="U250" s="5"/>
      <c r="V250" s="5"/>
      <c r="W250" s="5"/>
      <c r="X250" s="5"/>
      <c r="Y250" s="5"/>
      <c r="Z250" s="60"/>
      <c r="AA250" s="57"/>
      <c r="AB250" s="57"/>
      <c r="AC250" s="57"/>
      <c r="AD250" s="57"/>
      <c r="AE250" s="61"/>
    </row>
    <row r="251" spans="1:31" s="100" customFormat="1" ht="37.5">
      <c r="A251" s="235">
        <f>A249+1</f>
        <v>119</v>
      </c>
      <c r="B251" s="237" t="s">
        <v>227</v>
      </c>
      <c r="C251" s="44" t="s">
        <v>68</v>
      </c>
      <c r="D251" s="187" t="s">
        <v>5</v>
      </c>
      <c r="E251" s="187" t="s">
        <v>5</v>
      </c>
      <c r="F251" s="192">
        <f>80/1000</f>
        <v>0.08</v>
      </c>
      <c r="G251" s="7" t="s">
        <v>76</v>
      </c>
      <c r="H251" s="11">
        <f t="shared" si="6"/>
        <v>26</v>
      </c>
      <c r="I251" s="11"/>
      <c r="J251" s="11"/>
      <c r="K251" s="11"/>
      <c r="L251" s="11"/>
      <c r="M251" s="11"/>
      <c r="N251" s="11"/>
      <c r="O251" s="25"/>
      <c r="P251" s="25"/>
      <c r="Q251" s="25">
        <v>26</v>
      </c>
      <c r="R251" s="25"/>
      <c r="S251" s="72"/>
      <c r="T251" s="111">
        <f t="shared" si="7"/>
        <v>0</v>
      </c>
      <c r="U251" s="11"/>
      <c r="V251" s="11"/>
      <c r="W251" s="11"/>
      <c r="X251" s="11"/>
      <c r="Y251" s="11"/>
      <c r="Z251" s="74"/>
      <c r="AA251" s="70"/>
      <c r="AB251" s="70"/>
      <c r="AC251" s="70"/>
      <c r="AD251" s="70"/>
      <c r="AE251" s="75"/>
    </row>
    <row r="252" spans="1:31" ht="38.25" thickBot="1">
      <c r="A252" s="236"/>
      <c r="B252" s="238"/>
      <c r="C252" s="18" t="s">
        <v>8</v>
      </c>
      <c r="D252" s="188"/>
      <c r="E252" s="188"/>
      <c r="F252" s="194"/>
      <c r="G252" s="18" t="s">
        <v>164</v>
      </c>
      <c r="H252" s="5">
        <f t="shared" si="6"/>
        <v>520</v>
      </c>
      <c r="I252" s="5"/>
      <c r="J252" s="5"/>
      <c r="K252" s="5"/>
      <c r="L252" s="5"/>
      <c r="M252" s="5"/>
      <c r="N252" s="5"/>
      <c r="O252" s="17"/>
      <c r="P252" s="17"/>
      <c r="Q252" s="17"/>
      <c r="R252" s="17">
        <v>520</v>
      </c>
      <c r="S252" s="58"/>
      <c r="T252" s="59">
        <f t="shared" si="7"/>
        <v>0</v>
      </c>
      <c r="U252" s="5"/>
      <c r="V252" s="5"/>
      <c r="W252" s="5"/>
      <c r="X252" s="5"/>
      <c r="Y252" s="5"/>
      <c r="Z252" s="60"/>
      <c r="AA252" s="57"/>
      <c r="AB252" s="57"/>
      <c r="AC252" s="57"/>
      <c r="AD252" s="57"/>
      <c r="AE252" s="61"/>
    </row>
    <row r="253" spans="1:31" s="100" customFormat="1" ht="37.5">
      <c r="A253" s="235">
        <f>A251+1</f>
        <v>120</v>
      </c>
      <c r="B253" s="237" t="s">
        <v>228</v>
      </c>
      <c r="C253" s="44" t="s">
        <v>68</v>
      </c>
      <c r="D253" s="187" t="s">
        <v>5</v>
      </c>
      <c r="E253" s="187" t="s">
        <v>5</v>
      </c>
      <c r="F253" s="192">
        <f>240/1000</f>
        <v>0.24</v>
      </c>
      <c r="G253" s="7" t="s">
        <v>76</v>
      </c>
      <c r="H253" s="11">
        <f t="shared" si="6"/>
        <v>78</v>
      </c>
      <c r="I253" s="11"/>
      <c r="J253" s="11"/>
      <c r="K253" s="11"/>
      <c r="L253" s="11"/>
      <c r="M253" s="11"/>
      <c r="N253" s="11"/>
      <c r="O253" s="25"/>
      <c r="P253" s="25"/>
      <c r="Q253" s="25">
        <v>78</v>
      </c>
      <c r="R253" s="25"/>
      <c r="S253" s="72"/>
      <c r="T253" s="111">
        <f t="shared" si="7"/>
        <v>0</v>
      </c>
      <c r="U253" s="11"/>
      <c r="V253" s="11"/>
      <c r="W253" s="11"/>
      <c r="X253" s="11"/>
      <c r="Y253" s="11"/>
      <c r="Z253" s="74"/>
      <c r="AA253" s="70"/>
      <c r="AB253" s="70"/>
      <c r="AC253" s="70"/>
      <c r="AD253" s="70"/>
      <c r="AE253" s="75"/>
    </row>
    <row r="254" spans="1:31" ht="38.25" thickBot="1">
      <c r="A254" s="236"/>
      <c r="B254" s="238"/>
      <c r="C254" s="18" t="s">
        <v>8</v>
      </c>
      <c r="D254" s="188"/>
      <c r="E254" s="188"/>
      <c r="F254" s="194"/>
      <c r="G254" s="18" t="s">
        <v>164</v>
      </c>
      <c r="H254" s="5">
        <f t="shared" si="6"/>
        <v>1560</v>
      </c>
      <c r="I254" s="5"/>
      <c r="J254" s="5"/>
      <c r="K254" s="5"/>
      <c r="L254" s="5"/>
      <c r="M254" s="5"/>
      <c r="N254" s="5"/>
      <c r="O254" s="17"/>
      <c r="P254" s="17"/>
      <c r="Q254" s="17"/>
      <c r="R254" s="17">
        <v>1560</v>
      </c>
      <c r="S254" s="58"/>
      <c r="T254" s="59">
        <f t="shared" si="7"/>
        <v>0</v>
      </c>
      <c r="U254" s="5"/>
      <c r="V254" s="5"/>
      <c r="W254" s="5"/>
      <c r="X254" s="5"/>
      <c r="Y254" s="5"/>
      <c r="Z254" s="60"/>
      <c r="AA254" s="57"/>
      <c r="AB254" s="57"/>
      <c r="AC254" s="57"/>
      <c r="AD254" s="57"/>
      <c r="AE254" s="61"/>
    </row>
    <row r="255" spans="1:31" s="100" customFormat="1" ht="37.5">
      <c r="A255" s="235">
        <f>A253+1</f>
        <v>121</v>
      </c>
      <c r="B255" s="237" t="s">
        <v>229</v>
      </c>
      <c r="C255" s="44" t="s">
        <v>68</v>
      </c>
      <c r="D255" s="187" t="s">
        <v>5</v>
      </c>
      <c r="E255" s="187" t="s">
        <v>5</v>
      </c>
      <c r="F255" s="192">
        <f>160/1000</f>
        <v>0.16</v>
      </c>
      <c r="G255" s="7" t="s">
        <v>76</v>
      </c>
      <c r="H255" s="11">
        <f t="shared" si="6"/>
        <v>52</v>
      </c>
      <c r="I255" s="11"/>
      <c r="J255" s="11"/>
      <c r="K255" s="11"/>
      <c r="L255" s="11"/>
      <c r="M255" s="11"/>
      <c r="N255" s="11"/>
      <c r="O255" s="25"/>
      <c r="P255" s="25"/>
      <c r="Q255" s="25">
        <v>52</v>
      </c>
      <c r="R255" s="25"/>
      <c r="S255" s="72"/>
      <c r="T255" s="111">
        <f t="shared" si="7"/>
        <v>0</v>
      </c>
      <c r="U255" s="11"/>
      <c r="V255" s="11"/>
      <c r="W255" s="11"/>
      <c r="X255" s="11"/>
      <c r="Y255" s="11"/>
      <c r="Z255" s="74"/>
      <c r="AA255" s="70"/>
      <c r="AB255" s="70"/>
      <c r="AC255" s="70"/>
      <c r="AD255" s="70"/>
      <c r="AE255" s="75"/>
    </row>
    <row r="256" spans="1:31" ht="38.25" thickBot="1">
      <c r="A256" s="236"/>
      <c r="B256" s="238"/>
      <c r="C256" s="18" t="s">
        <v>8</v>
      </c>
      <c r="D256" s="188"/>
      <c r="E256" s="188"/>
      <c r="F256" s="194"/>
      <c r="G256" s="18" t="s">
        <v>164</v>
      </c>
      <c r="H256" s="5">
        <f t="shared" si="6"/>
        <v>1040</v>
      </c>
      <c r="I256" s="5"/>
      <c r="J256" s="5"/>
      <c r="K256" s="5"/>
      <c r="L256" s="5"/>
      <c r="M256" s="5"/>
      <c r="N256" s="5"/>
      <c r="O256" s="17"/>
      <c r="P256" s="17"/>
      <c r="Q256" s="17"/>
      <c r="R256" s="17">
        <v>1040</v>
      </c>
      <c r="S256" s="58"/>
      <c r="T256" s="59">
        <f t="shared" si="7"/>
        <v>0</v>
      </c>
      <c r="U256" s="5"/>
      <c r="V256" s="5"/>
      <c r="W256" s="5"/>
      <c r="X256" s="5"/>
      <c r="Y256" s="5"/>
      <c r="Z256" s="60"/>
      <c r="AA256" s="57"/>
      <c r="AB256" s="57"/>
      <c r="AC256" s="57"/>
      <c r="AD256" s="57"/>
      <c r="AE256" s="61"/>
    </row>
    <row r="257" spans="1:31" s="100" customFormat="1" ht="37.5">
      <c r="A257" s="235">
        <f>A255+1</f>
        <v>122</v>
      </c>
      <c r="B257" s="237" t="s">
        <v>230</v>
      </c>
      <c r="C257" s="44" t="s">
        <v>68</v>
      </c>
      <c r="D257" s="187" t="s">
        <v>5</v>
      </c>
      <c r="E257" s="187" t="s">
        <v>5</v>
      </c>
      <c r="F257" s="192">
        <f>180/1000</f>
        <v>0.18</v>
      </c>
      <c r="G257" s="7" t="s">
        <v>76</v>
      </c>
      <c r="H257" s="11">
        <f t="shared" si="6"/>
        <v>58.5</v>
      </c>
      <c r="I257" s="11"/>
      <c r="J257" s="11"/>
      <c r="K257" s="11"/>
      <c r="L257" s="11"/>
      <c r="M257" s="11"/>
      <c r="N257" s="11"/>
      <c r="O257" s="25"/>
      <c r="P257" s="25"/>
      <c r="Q257" s="25">
        <v>58.5</v>
      </c>
      <c r="R257" s="25"/>
      <c r="S257" s="72"/>
      <c r="T257" s="111">
        <f t="shared" si="7"/>
        <v>0</v>
      </c>
      <c r="U257" s="11"/>
      <c r="V257" s="11"/>
      <c r="W257" s="11"/>
      <c r="X257" s="11"/>
      <c r="Y257" s="11"/>
      <c r="Z257" s="74"/>
      <c r="AA257" s="70"/>
      <c r="AB257" s="70"/>
      <c r="AC257" s="70"/>
      <c r="AD257" s="70"/>
      <c r="AE257" s="75"/>
    </row>
    <row r="258" spans="1:31" ht="38.25" thickBot="1">
      <c r="A258" s="236"/>
      <c r="B258" s="238"/>
      <c r="C258" s="18" t="s">
        <v>8</v>
      </c>
      <c r="D258" s="188"/>
      <c r="E258" s="188"/>
      <c r="F258" s="194"/>
      <c r="G258" s="18" t="s">
        <v>164</v>
      </c>
      <c r="H258" s="5">
        <f t="shared" si="6"/>
        <v>1170</v>
      </c>
      <c r="I258" s="5"/>
      <c r="J258" s="5"/>
      <c r="K258" s="5"/>
      <c r="L258" s="5"/>
      <c r="M258" s="5"/>
      <c r="N258" s="5"/>
      <c r="O258" s="17"/>
      <c r="P258" s="17"/>
      <c r="Q258" s="17"/>
      <c r="R258" s="17">
        <v>1170</v>
      </c>
      <c r="S258" s="58"/>
      <c r="T258" s="59">
        <f t="shared" si="7"/>
        <v>0</v>
      </c>
      <c r="U258" s="5"/>
      <c r="V258" s="5"/>
      <c r="W258" s="5"/>
      <c r="X258" s="5"/>
      <c r="Y258" s="5"/>
      <c r="Z258" s="60"/>
      <c r="AA258" s="57"/>
      <c r="AB258" s="57"/>
      <c r="AC258" s="57"/>
      <c r="AD258" s="57"/>
      <c r="AE258" s="61"/>
    </row>
    <row r="259" spans="1:31" s="100" customFormat="1" ht="37.5">
      <c r="A259" s="235">
        <f>A257+1</f>
        <v>123</v>
      </c>
      <c r="B259" s="237" t="s">
        <v>231</v>
      </c>
      <c r="C259" s="44" t="s">
        <v>68</v>
      </c>
      <c r="D259" s="187" t="s">
        <v>5</v>
      </c>
      <c r="E259" s="187" t="s">
        <v>5</v>
      </c>
      <c r="F259" s="192">
        <f>240/1000</f>
        <v>0.24</v>
      </c>
      <c r="G259" s="7" t="s">
        <v>76</v>
      </c>
      <c r="H259" s="11">
        <f t="shared" si="6"/>
        <v>78</v>
      </c>
      <c r="I259" s="11"/>
      <c r="J259" s="11"/>
      <c r="K259" s="11"/>
      <c r="L259" s="11"/>
      <c r="M259" s="11"/>
      <c r="N259" s="11"/>
      <c r="O259" s="25"/>
      <c r="P259" s="25"/>
      <c r="Q259" s="25">
        <v>78</v>
      </c>
      <c r="R259" s="25"/>
      <c r="S259" s="72"/>
      <c r="T259" s="111">
        <f t="shared" si="7"/>
        <v>0</v>
      </c>
      <c r="U259" s="11"/>
      <c r="V259" s="11"/>
      <c r="W259" s="11"/>
      <c r="X259" s="11"/>
      <c r="Y259" s="11"/>
      <c r="Z259" s="74"/>
      <c r="AA259" s="70"/>
      <c r="AB259" s="70"/>
      <c r="AC259" s="70"/>
      <c r="AD259" s="70"/>
      <c r="AE259" s="75"/>
    </row>
    <row r="260" spans="1:31" ht="38.25" thickBot="1">
      <c r="A260" s="236"/>
      <c r="B260" s="238"/>
      <c r="C260" s="18" t="s">
        <v>8</v>
      </c>
      <c r="D260" s="188"/>
      <c r="E260" s="188"/>
      <c r="F260" s="194"/>
      <c r="G260" s="18" t="s">
        <v>164</v>
      </c>
      <c r="H260" s="5">
        <f t="shared" si="6"/>
        <v>1560</v>
      </c>
      <c r="I260" s="5"/>
      <c r="J260" s="5"/>
      <c r="K260" s="5"/>
      <c r="L260" s="5"/>
      <c r="M260" s="5"/>
      <c r="N260" s="5"/>
      <c r="O260" s="17"/>
      <c r="P260" s="17"/>
      <c r="Q260" s="17"/>
      <c r="R260" s="17">
        <v>1560</v>
      </c>
      <c r="S260" s="58"/>
      <c r="T260" s="59">
        <f t="shared" si="7"/>
        <v>0</v>
      </c>
      <c r="U260" s="5"/>
      <c r="V260" s="5"/>
      <c r="W260" s="5"/>
      <c r="X260" s="5"/>
      <c r="Y260" s="5"/>
      <c r="Z260" s="60"/>
      <c r="AA260" s="57"/>
      <c r="AB260" s="57"/>
      <c r="AC260" s="57"/>
      <c r="AD260" s="57"/>
      <c r="AE260" s="61"/>
    </row>
    <row r="261" spans="1:31" s="100" customFormat="1" ht="37.5">
      <c r="A261" s="235">
        <f>A259+1</f>
        <v>124</v>
      </c>
      <c r="B261" s="237" t="s">
        <v>232</v>
      </c>
      <c r="C261" s="44" t="s">
        <v>68</v>
      </c>
      <c r="D261" s="187" t="s">
        <v>5</v>
      </c>
      <c r="E261" s="187" t="s">
        <v>5</v>
      </c>
      <c r="F261" s="192">
        <f>500/1000</f>
        <v>0.5</v>
      </c>
      <c r="G261" s="7" t="s">
        <v>76</v>
      </c>
      <c r="H261" s="11">
        <f t="shared" si="6"/>
        <v>162.5</v>
      </c>
      <c r="I261" s="11"/>
      <c r="J261" s="11"/>
      <c r="K261" s="11"/>
      <c r="L261" s="11"/>
      <c r="M261" s="11"/>
      <c r="N261" s="11"/>
      <c r="O261" s="25"/>
      <c r="P261" s="25"/>
      <c r="Q261" s="25">
        <v>162.5</v>
      </c>
      <c r="R261" s="25"/>
      <c r="S261" s="72"/>
      <c r="T261" s="111">
        <f t="shared" si="7"/>
        <v>0</v>
      </c>
      <c r="U261" s="11"/>
      <c r="V261" s="11"/>
      <c r="W261" s="11"/>
      <c r="X261" s="11"/>
      <c r="Y261" s="11"/>
      <c r="Z261" s="74"/>
      <c r="AA261" s="70"/>
      <c r="AB261" s="70"/>
      <c r="AC261" s="70"/>
      <c r="AD261" s="70"/>
      <c r="AE261" s="75"/>
    </row>
    <row r="262" spans="1:31" ht="38.25" thickBot="1">
      <c r="A262" s="236"/>
      <c r="B262" s="238"/>
      <c r="C262" s="18" t="s">
        <v>8</v>
      </c>
      <c r="D262" s="188"/>
      <c r="E262" s="188"/>
      <c r="F262" s="194"/>
      <c r="G262" s="18" t="s">
        <v>164</v>
      </c>
      <c r="H262" s="5">
        <f t="shared" si="6"/>
        <v>3250</v>
      </c>
      <c r="I262" s="5"/>
      <c r="J262" s="5"/>
      <c r="K262" s="5"/>
      <c r="L262" s="5"/>
      <c r="M262" s="5"/>
      <c r="N262" s="5"/>
      <c r="O262" s="17"/>
      <c r="P262" s="17"/>
      <c r="Q262" s="17"/>
      <c r="R262" s="17">
        <v>3250</v>
      </c>
      <c r="S262" s="58"/>
      <c r="T262" s="59">
        <f t="shared" si="7"/>
        <v>0</v>
      </c>
      <c r="U262" s="5"/>
      <c r="V262" s="5"/>
      <c r="W262" s="5"/>
      <c r="X262" s="5"/>
      <c r="Y262" s="5"/>
      <c r="Z262" s="60"/>
      <c r="AA262" s="57"/>
      <c r="AB262" s="57"/>
      <c r="AC262" s="57"/>
      <c r="AD262" s="57"/>
      <c r="AE262" s="61"/>
    </row>
    <row r="263" spans="1:31" s="100" customFormat="1" ht="37.5">
      <c r="A263" s="235">
        <f>A261+1</f>
        <v>125</v>
      </c>
      <c r="B263" s="237" t="s">
        <v>233</v>
      </c>
      <c r="C263" s="44" t="s">
        <v>68</v>
      </c>
      <c r="D263" s="187" t="s">
        <v>5</v>
      </c>
      <c r="E263" s="187" t="s">
        <v>5</v>
      </c>
      <c r="F263" s="192">
        <f>110/1000</f>
        <v>0.11</v>
      </c>
      <c r="G263" s="7" t="s">
        <v>76</v>
      </c>
      <c r="H263" s="11">
        <f t="shared" si="6"/>
        <v>35.8</v>
      </c>
      <c r="I263" s="11"/>
      <c r="J263" s="11"/>
      <c r="K263" s="11"/>
      <c r="L263" s="11"/>
      <c r="M263" s="11"/>
      <c r="N263" s="11"/>
      <c r="O263" s="25"/>
      <c r="P263" s="25"/>
      <c r="Q263" s="25">
        <v>35.8</v>
      </c>
      <c r="R263" s="25"/>
      <c r="S263" s="72"/>
      <c r="T263" s="111">
        <f t="shared" si="7"/>
        <v>0</v>
      </c>
      <c r="U263" s="11"/>
      <c r="V263" s="11"/>
      <c r="W263" s="11"/>
      <c r="X263" s="11"/>
      <c r="Y263" s="11"/>
      <c r="Z263" s="74"/>
      <c r="AA263" s="70"/>
      <c r="AB263" s="70"/>
      <c r="AC263" s="70"/>
      <c r="AD263" s="70"/>
      <c r="AE263" s="75"/>
    </row>
    <row r="264" spans="1:31" ht="38.25" thickBot="1">
      <c r="A264" s="236"/>
      <c r="B264" s="238"/>
      <c r="C264" s="18" t="s">
        <v>8</v>
      </c>
      <c r="D264" s="188"/>
      <c r="E264" s="188"/>
      <c r="F264" s="194"/>
      <c r="G264" s="18" t="s">
        <v>164</v>
      </c>
      <c r="H264" s="5">
        <f t="shared" si="6"/>
        <v>715</v>
      </c>
      <c r="I264" s="5"/>
      <c r="J264" s="5"/>
      <c r="K264" s="5"/>
      <c r="L264" s="5"/>
      <c r="M264" s="5"/>
      <c r="N264" s="5"/>
      <c r="O264" s="17"/>
      <c r="P264" s="17"/>
      <c r="Q264" s="17"/>
      <c r="R264" s="17">
        <v>715</v>
      </c>
      <c r="S264" s="58"/>
      <c r="T264" s="59">
        <f t="shared" si="7"/>
        <v>0</v>
      </c>
      <c r="U264" s="5"/>
      <c r="V264" s="5"/>
      <c r="W264" s="5"/>
      <c r="X264" s="5"/>
      <c r="Y264" s="5"/>
      <c r="Z264" s="60"/>
      <c r="AA264" s="57"/>
      <c r="AB264" s="57"/>
      <c r="AC264" s="57"/>
      <c r="AD264" s="57"/>
      <c r="AE264" s="61"/>
    </row>
    <row r="265" spans="1:31" s="100" customFormat="1" ht="37.5">
      <c r="A265" s="235">
        <f>A263+1</f>
        <v>126</v>
      </c>
      <c r="B265" s="237" t="s">
        <v>234</v>
      </c>
      <c r="C265" s="44" t="s">
        <v>68</v>
      </c>
      <c r="D265" s="187" t="s">
        <v>5</v>
      </c>
      <c r="E265" s="187" t="s">
        <v>5</v>
      </c>
      <c r="F265" s="192">
        <f>1130/1000</f>
        <v>1.13</v>
      </c>
      <c r="G265" s="7" t="s">
        <v>76</v>
      </c>
      <c r="H265" s="11">
        <f t="shared" si="6"/>
        <v>367.3</v>
      </c>
      <c r="I265" s="11"/>
      <c r="J265" s="11"/>
      <c r="K265" s="11"/>
      <c r="L265" s="11"/>
      <c r="M265" s="11"/>
      <c r="N265" s="11"/>
      <c r="O265" s="25"/>
      <c r="P265" s="25"/>
      <c r="Q265" s="25">
        <v>367.3</v>
      </c>
      <c r="R265" s="25"/>
      <c r="S265" s="72"/>
      <c r="T265" s="111">
        <f t="shared" si="7"/>
        <v>0</v>
      </c>
      <c r="U265" s="11"/>
      <c r="V265" s="11"/>
      <c r="W265" s="11"/>
      <c r="X265" s="11"/>
      <c r="Y265" s="11"/>
      <c r="Z265" s="74"/>
      <c r="AA265" s="70"/>
      <c r="AB265" s="70"/>
      <c r="AC265" s="70"/>
      <c r="AD265" s="70"/>
      <c r="AE265" s="75"/>
    </row>
    <row r="266" spans="1:31" ht="38.25" thickBot="1">
      <c r="A266" s="236"/>
      <c r="B266" s="238"/>
      <c r="C266" s="18" t="s">
        <v>8</v>
      </c>
      <c r="D266" s="188"/>
      <c r="E266" s="188"/>
      <c r="F266" s="194"/>
      <c r="G266" s="18" t="s">
        <v>164</v>
      </c>
      <c r="H266" s="5">
        <f t="shared" si="6"/>
        <v>7345</v>
      </c>
      <c r="I266" s="5"/>
      <c r="J266" s="5"/>
      <c r="K266" s="5"/>
      <c r="L266" s="5"/>
      <c r="M266" s="5"/>
      <c r="N266" s="5"/>
      <c r="O266" s="17"/>
      <c r="P266" s="17"/>
      <c r="Q266" s="17"/>
      <c r="R266" s="17">
        <v>7345</v>
      </c>
      <c r="S266" s="58"/>
      <c r="T266" s="59">
        <f t="shared" si="7"/>
        <v>0</v>
      </c>
      <c r="U266" s="5"/>
      <c r="V266" s="5"/>
      <c r="W266" s="5"/>
      <c r="X266" s="5"/>
      <c r="Y266" s="5"/>
      <c r="Z266" s="60"/>
      <c r="AA266" s="57"/>
      <c r="AB266" s="57"/>
      <c r="AC266" s="57"/>
      <c r="AD266" s="57"/>
      <c r="AE266" s="61"/>
    </row>
    <row r="267" spans="1:31" s="100" customFormat="1" ht="37.5">
      <c r="A267" s="235">
        <f>A265+1</f>
        <v>127</v>
      </c>
      <c r="B267" s="237" t="s">
        <v>235</v>
      </c>
      <c r="C267" s="44" t="s">
        <v>68</v>
      </c>
      <c r="D267" s="187" t="s">
        <v>5</v>
      </c>
      <c r="E267" s="187" t="s">
        <v>5</v>
      </c>
      <c r="F267" s="192">
        <f>80/1000</f>
        <v>0.08</v>
      </c>
      <c r="G267" s="7" t="s">
        <v>76</v>
      </c>
      <c r="H267" s="11">
        <f t="shared" si="6"/>
        <v>26</v>
      </c>
      <c r="I267" s="11"/>
      <c r="J267" s="11"/>
      <c r="K267" s="11"/>
      <c r="L267" s="11"/>
      <c r="M267" s="11"/>
      <c r="N267" s="11"/>
      <c r="O267" s="25"/>
      <c r="P267" s="25"/>
      <c r="Q267" s="25">
        <v>26</v>
      </c>
      <c r="R267" s="25"/>
      <c r="S267" s="72"/>
      <c r="T267" s="111">
        <f t="shared" si="7"/>
        <v>0</v>
      </c>
      <c r="U267" s="11"/>
      <c r="V267" s="11"/>
      <c r="W267" s="11"/>
      <c r="X267" s="11"/>
      <c r="Y267" s="11"/>
      <c r="Z267" s="74"/>
      <c r="AA267" s="70"/>
      <c r="AB267" s="70"/>
      <c r="AC267" s="70"/>
      <c r="AD267" s="70"/>
      <c r="AE267" s="75"/>
    </row>
    <row r="268" spans="1:31" ht="38.25" thickBot="1">
      <c r="A268" s="236"/>
      <c r="B268" s="238"/>
      <c r="C268" s="18" t="s">
        <v>8</v>
      </c>
      <c r="D268" s="188"/>
      <c r="E268" s="188"/>
      <c r="F268" s="194"/>
      <c r="G268" s="18" t="s">
        <v>164</v>
      </c>
      <c r="H268" s="5">
        <f t="shared" si="6"/>
        <v>520</v>
      </c>
      <c r="I268" s="5"/>
      <c r="J268" s="5"/>
      <c r="K268" s="5"/>
      <c r="L268" s="5"/>
      <c r="M268" s="5"/>
      <c r="N268" s="5"/>
      <c r="O268" s="17"/>
      <c r="P268" s="17"/>
      <c r="Q268" s="17"/>
      <c r="R268" s="17">
        <v>520</v>
      </c>
      <c r="S268" s="58"/>
      <c r="T268" s="59">
        <f t="shared" si="7"/>
        <v>0</v>
      </c>
      <c r="U268" s="5"/>
      <c r="V268" s="5"/>
      <c r="W268" s="5"/>
      <c r="X268" s="5"/>
      <c r="Y268" s="5"/>
      <c r="Z268" s="60"/>
      <c r="AA268" s="57"/>
      <c r="AB268" s="57"/>
      <c r="AC268" s="57"/>
      <c r="AD268" s="57"/>
      <c r="AE268" s="61"/>
    </row>
    <row r="269" spans="1:31" s="100" customFormat="1" ht="37.5">
      <c r="A269" s="235">
        <f>A267+1</f>
        <v>128</v>
      </c>
      <c r="B269" s="237" t="s">
        <v>236</v>
      </c>
      <c r="C269" s="44" t="s">
        <v>68</v>
      </c>
      <c r="D269" s="187" t="s">
        <v>5</v>
      </c>
      <c r="E269" s="187" t="s">
        <v>5</v>
      </c>
      <c r="F269" s="192">
        <f>60/1000</f>
        <v>0.06</v>
      </c>
      <c r="G269" s="7" t="s">
        <v>76</v>
      </c>
      <c r="H269" s="11">
        <f t="shared" si="6"/>
        <v>19.5</v>
      </c>
      <c r="I269" s="11"/>
      <c r="J269" s="11"/>
      <c r="K269" s="11"/>
      <c r="L269" s="11"/>
      <c r="M269" s="11"/>
      <c r="N269" s="11"/>
      <c r="O269" s="25"/>
      <c r="P269" s="25"/>
      <c r="Q269" s="25">
        <v>19.5</v>
      </c>
      <c r="R269" s="25"/>
      <c r="S269" s="72"/>
      <c r="T269" s="111">
        <f t="shared" si="7"/>
        <v>0</v>
      </c>
      <c r="U269" s="11"/>
      <c r="V269" s="11"/>
      <c r="W269" s="11"/>
      <c r="X269" s="11"/>
      <c r="Y269" s="11"/>
      <c r="Z269" s="74"/>
      <c r="AA269" s="70"/>
      <c r="AB269" s="70"/>
      <c r="AC269" s="70"/>
      <c r="AD269" s="70"/>
      <c r="AE269" s="75"/>
    </row>
    <row r="270" spans="1:31" ht="38.25" thickBot="1">
      <c r="A270" s="236"/>
      <c r="B270" s="238"/>
      <c r="C270" s="18" t="s">
        <v>8</v>
      </c>
      <c r="D270" s="188"/>
      <c r="E270" s="188"/>
      <c r="F270" s="194"/>
      <c r="G270" s="18" t="s">
        <v>164</v>
      </c>
      <c r="H270" s="5">
        <f t="shared" si="6"/>
        <v>390</v>
      </c>
      <c r="I270" s="5"/>
      <c r="J270" s="5"/>
      <c r="K270" s="5"/>
      <c r="L270" s="5"/>
      <c r="M270" s="5"/>
      <c r="N270" s="5"/>
      <c r="O270" s="17"/>
      <c r="P270" s="17"/>
      <c r="Q270" s="17"/>
      <c r="R270" s="17">
        <v>390</v>
      </c>
      <c r="S270" s="58"/>
      <c r="T270" s="59">
        <f t="shared" si="7"/>
        <v>0</v>
      </c>
      <c r="U270" s="5"/>
      <c r="V270" s="5"/>
      <c r="W270" s="5"/>
      <c r="X270" s="5"/>
      <c r="Y270" s="5"/>
      <c r="Z270" s="60"/>
      <c r="AA270" s="57"/>
      <c r="AB270" s="57"/>
      <c r="AC270" s="57"/>
      <c r="AD270" s="57"/>
      <c r="AE270" s="61"/>
    </row>
    <row r="271" spans="1:31" s="100" customFormat="1" ht="37.5">
      <c r="A271" s="235">
        <f>A269+1</f>
        <v>129</v>
      </c>
      <c r="B271" s="237" t="s">
        <v>237</v>
      </c>
      <c r="C271" s="44" t="s">
        <v>68</v>
      </c>
      <c r="D271" s="187" t="s">
        <v>5</v>
      </c>
      <c r="E271" s="187" t="s">
        <v>5</v>
      </c>
      <c r="F271" s="192">
        <f>550/1000</f>
        <v>0.55</v>
      </c>
      <c r="G271" s="7" t="s">
        <v>76</v>
      </c>
      <c r="H271" s="11">
        <f t="shared" si="6"/>
        <v>178.8</v>
      </c>
      <c r="I271" s="11"/>
      <c r="J271" s="11"/>
      <c r="K271" s="11"/>
      <c r="L271" s="11"/>
      <c r="M271" s="11"/>
      <c r="N271" s="11"/>
      <c r="O271" s="25"/>
      <c r="P271" s="25"/>
      <c r="Q271" s="25">
        <v>178.8</v>
      </c>
      <c r="R271" s="25"/>
      <c r="S271" s="72"/>
      <c r="T271" s="111">
        <f t="shared" si="7"/>
        <v>0</v>
      </c>
      <c r="U271" s="11"/>
      <c r="V271" s="11"/>
      <c r="W271" s="11"/>
      <c r="X271" s="11"/>
      <c r="Y271" s="11"/>
      <c r="Z271" s="74"/>
      <c r="AA271" s="70"/>
      <c r="AB271" s="70"/>
      <c r="AC271" s="70"/>
      <c r="AD271" s="70"/>
      <c r="AE271" s="75"/>
    </row>
    <row r="272" spans="1:31" ht="38.25" thickBot="1">
      <c r="A272" s="236"/>
      <c r="B272" s="238"/>
      <c r="C272" s="18" t="s">
        <v>8</v>
      </c>
      <c r="D272" s="188"/>
      <c r="E272" s="188"/>
      <c r="F272" s="194"/>
      <c r="G272" s="18" t="s">
        <v>164</v>
      </c>
      <c r="H272" s="5">
        <f t="shared" si="6"/>
        <v>3575</v>
      </c>
      <c r="I272" s="5"/>
      <c r="J272" s="5"/>
      <c r="K272" s="5"/>
      <c r="L272" s="5"/>
      <c r="M272" s="5"/>
      <c r="N272" s="5"/>
      <c r="O272" s="17"/>
      <c r="P272" s="17"/>
      <c r="Q272" s="17"/>
      <c r="R272" s="17">
        <v>3575</v>
      </c>
      <c r="S272" s="58"/>
      <c r="T272" s="59">
        <f t="shared" si="7"/>
        <v>0</v>
      </c>
      <c r="U272" s="5"/>
      <c r="V272" s="5"/>
      <c r="W272" s="5"/>
      <c r="X272" s="5"/>
      <c r="Y272" s="5"/>
      <c r="Z272" s="60"/>
      <c r="AA272" s="57"/>
      <c r="AB272" s="57"/>
      <c r="AC272" s="57"/>
      <c r="AD272" s="57"/>
      <c r="AE272" s="61"/>
    </row>
    <row r="273" spans="1:31" s="100" customFormat="1" ht="37.5">
      <c r="A273" s="235">
        <f>A271+1</f>
        <v>130</v>
      </c>
      <c r="B273" s="237" t="s">
        <v>238</v>
      </c>
      <c r="C273" s="44" t="s">
        <v>68</v>
      </c>
      <c r="D273" s="187" t="s">
        <v>5</v>
      </c>
      <c r="E273" s="187" t="s">
        <v>5</v>
      </c>
      <c r="F273" s="192">
        <f>210/1000</f>
        <v>0.21</v>
      </c>
      <c r="G273" s="7" t="s">
        <v>76</v>
      </c>
      <c r="H273" s="11">
        <f t="shared" si="6"/>
        <v>68.3</v>
      </c>
      <c r="I273" s="11"/>
      <c r="J273" s="11"/>
      <c r="K273" s="11"/>
      <c r="L273" s="11"/>
      <c r="M273" s="11"/>
      <c r="N273" s="11"/>
      <c r="O273" s="25"/>
      <c r="P273" s="25"/>
      <c r="Q273" s="25">
        <v>68.3</v>
      </c>
      <c r="R273" s="25"/>
      <c r="S273" s="72"/>
      <c r="T273" s="111">
        <f t="shared" si="7"/>
        <v>0</v>
      </c>
      <c r="U273" s="11"/>
      <c r="V273" s="11"/>
      <c r="W273" s="11"/>
      <c r="X273" s="11"/>
      <c r="Y273" s="11"/>
      <c r="Z273" s="74"/>
      <c r="AA273" s="70"/>
      <c r="AB273" s="70"/>
      <c r="AC273" s="70"/>
      <c r="AD273" s="70"/>
      <c r="AE273" s="75"/>
    </row>
    <row r="274" spans="1:31" ht="38.25" thickBot="1">
      <c r="A274" s="236"/>
      <c r="B274" s="238"/>
      <c r="C274" s="18" t="s">
        <v>8</v>
      </c>
      <c r="D274" s="188"/>
      <c r="E274" s="188"/>
      <c r="F274" s="194"/>
      <c r="G274" s="18" t="s">
        <v>164</v>
      </c>
      <c r="H274" s="5">
        <f t="shared" si="6"/>
        <v>1365</v>
      </c>
      <c r="I274" s="5"/>
      <c r="J274" s="5"/>
      <c r="K274" s="5"/>
      <c r="L274" s="5"/>
      <c r="M274" s="5"/>
      <c r="N274" s="5"/>
      <c r="O274" s="17"/>
      <c r="P274" s="17"/>
      <c r="Q274" s="17"/>
      <c r="R274" s="17">
        <v>1365</v>
      </c>
      <c r="S274" s="58"/>
      <c r="T274" s="59">
        <f t="shared" si="7"/>
        <v>0</v>
      </c>
      <c r="U274" s="5"/>
      <c r="V274" s="5"/>
      <c r="W274" s="5"/>
      <c r="X274" s="5"/>
      <c r="Y274" s="5"/>
      <c r="Z274" s="60"/>
      <c r="AA274" s="57"/>
      <c r="AB274" s="57"/>
      <c r="AC274" s="57"/>
      <c r="AD274" s="57"/>
      <c r="AE274" s="61"/>
    </row>
    <row r="275" spans="1:31" s="100" customFormat="1" ht="37.5">
      <c r="A275" s="235">
        <f>A273+1</f>
        <v>131</v>
      </c>
      <c r="B275" s="237" t="s">
        <v>239</v>
      </c>
      <c r="C275" s="44" t="s">
        <v>68</v>
      </c>
      <c r="D275" s="187" t="s">
        <v>5</v>
      </c>
      <c r="E275" s="187" t="s">
        <v>5</v>
      </c>
      <c r="F275" s="192">
        <f>230/1000</f>
        <v>0.23</v>
      </c>
      <c r="G275" s="7" t="s">
        <v>76</v>
      </c>
      <c r="H275" s="11">
        <f t="shared" si="6"/>
        <v>74.8</v>
      </c>
      <c r="I275" s="11"/>
      <c r="J275" s="11"/>
      <c r="K275" s="11"/>
      <c r="L275" s="11"/>
      <c r="M275" s="11"/>
      <c r="N275" s="11"/>
      <c r="O275" s="25"/>
      <c r="P275" s="25"/>
      <c r="Q275" s="25">
        <v>74.8</v>
      </c>
      <c r="R275" s="25"/>
      <c r="S275" s="72"/>
      <c r="T275" s="111">
        <f t="shared" si="7"/>
        <v>0</v>
      </c>
      <c r="U275" s="11"/>
      <c r="V275" s="11"/>
      <c r="W275" s="11"/>
      <c r="X275" s="11"/>
      <c r="Y275" s="11"/>
      <c r="Z275" s="74"/>
      <c r="AA275" s="70"/>
      <c r="AB275" s="70"/>
      <c r="AC275" s="70"/>
      <c r="AD275" s="70"/>
      <c r="AE275" s="75"/>
    </row>
    <row r="276" spans="1:31" ht="38.25" thickBot="1">
      <c r="A276" s="236"/>
      <c r="B276" s="238"/>
      <c r="C276" s="18" t="s">
        <v>8</v>
      </c>
      <c r="D276" s="188"/>
      <c r="E276" s="188"/>
      <c r="F276" s="194"/>
      <c r="G276" s="18" t="s">
        <v>164</v>
      </c>
      <c r="H276" s="5">
        <f t="shared" si="6"/>
        <v>1495</v>
      </c>
      <c r="I276" s="5"/>
      <c r="J276" s="5"/>
      <c r="K276" s="5"/>
      <c r="L276" s="5"/>
      <c r="M276" s="5"/>
      <c r="N276" s="5"/>
      <c r="O276" s="17"/>
      <c r="P276" s="17"/>
      <c r="Q276" s="17"/>
      <c r="R276" s="17">
        <v>1495</v>
      </c>
      <c r="S276" s="58"/>
      <c r="T276" s="59">
        <f t="shared" si="7"/>
        <v>0</v>
      </c>
      <c r="U276" s="5"/>
      <c r="V276" s="5"/>
      <c r="W276" s="5"/>
      <c r="X276" s="5"/>
      <c r="Y276" s="5"/>
      <c r="Z276" s="60"/>
      <c r="AA276" s="57"/>
      <c r="AB276" s="57"/>
      <c r="AC276" s="57"/>
      <c r="AD276" s="57"/>
      <c r="AE276" s="61"/>
    </row>
    <row r="277" spans="1:31" s="100" customFormat="1" ht="37.5">
      <c r="A277" s="235">
        <f>A275+1</f>
        <v>132</v>
      </c>
      <c r="B277" s="237" t="s">
        <v>240</v>
      </c>
      <c r="C277" s="44" t="s">
        <v>68</v>
      </c>
      <c r="D277" s="187" t="s">
        <v>5</v>
      </c>
      <c r="E277" s="187" t="s">
        <v>5</v>
      </c>
      <c r="F277" s="192">
        <f>206/1000</f>
        <v>0.206</v>
      </c>
      <c r="G277" s="7" t="s">
        <v>76</v>
      </c>
      <c r="H277" s="11">
        <f t="shared" si="6"/>
        <v>67</v>
      </c>
      <c r="I277" s="11"/>
      <c r="J277" s="11"/>
      <c r="K277" s="11"/>
      <c r="L277" s="11"/>
      <c r="M277" s="11"/>
      <c r="N277" s="11"/>
      <c r="O277" s="25"/>
      <c r="P277" s="25"/>
      <c r="Q277" s="25">
        <v>67</v>
      </c>
      <c r="R277" s="25"/>
      <c r="S277" s="72"/>
      <c r="T277" s="111">
        <f t="shared" si="7"/>
        <v>0</v>
      </c>
      <c r="U277" s="11"/>
      <c r="V277" s="11"/>
      <c r="W277" s="11"/>
      <c r="X277" s="11"/>
      <c r="Y277" s="11"/>
      <c r="Z277" s="74"/>
      <c r="AA277" s="70"/>
      <c r="AB277" s="70"/>
      <c r="AC277" s="70"/>
      <c r="AD277" s="70"/>
      <c r="AE277" s="75"/>
    </row>
    <row r="278" spans="1:31" ht="38.25" thickBot="1">
      <c r="A278" s="236"/>
      <c r="B278" s="238"/>
      <c r="C278" s="18" t="s">
        <v>8</v>
      </c>
      <c r="D278" s="188"/>
      <c r="E278" s="188"/>
      <c r="F278" s="194"/>
      <c r="G278" s="18" t="s">
        <v>164</v>
      </c>
      <c r="H278" s="5">
        <f t="shared" si="6"/>
        <v>1339</v>
      </c>
      <c r="I278" s="5"/>
      <c r="J278" s="5"/>
      <c r="K278" s="5"/>
      <c r="L278" s="5"/>
      <c r="M278" s="5"/>
      <c r="N278" s="5"/>
      <c r="O278" s="17"/>
      <c r="P278" s="17"/>
      <c r="Q278" s="17"/>
      <c r="R278" s="17">
        <v>1339</v>
      </c>
      <c r="S278" s="58"/>
      <c r="T278" s="59">
        <f t="shared" si="7"/>
        <v>0</v>
      </c>
      <c r="U278" s="5"/>
      <c r="V278" s="5"/>
      <c r="W278" s="5"/>
      <c r="X278" s="5"/>
      <c r="Y278" s="5"/>
      <c r="Z278" s="60"/>
      <c r="AA278" s="57"/>
      <c r="AB278" s="57"/>
      <c r="AC278" s="57"/>
      <c r="AD278" s="57"/>
      <c r="AE278" s="61"/>
    </row>
    <row r="279" spans="1:31" s="100" customFormat="1" ht="37.5">
      <c r="A279" s="235">
        <f>A277+1</f>
        <v>133</v>
      </c>
      <c r="B279" s="237" t="s">
        <v>241</v>
      </c>
      <c r="C279" s="44" t="s">
        <v>68</v>
      </c>
      <c r="D279" s="187" t="s">
        <v>5</v>
      </c>
      <c r="E279" s="187" t="s">
        <v>5</v>
      </c>
      <c r="F279" s="192">
        <f>100/1000</f>
        <v>0.1</v>
      </c>
      <c r="G279" s="7" t="s">
        <v>76</v>
      </c>
      <c r="H279" s="11">
        <f t="shared" si="6"/>
        <v>32.5</v>
      </c>
      <c r="I279" s="11"/>
      <c r="J279" s="11"/>
      <c r="K279" s="11"/>
      <c r="L279" s="11"/>
      <c r="M279" s="11"/>
      <c r="N279" s="11"/>
      <c r="O279" s="25"/>
      <c r="P279" s="25"/>
      <c r="Q279" s="25">
        <v>32.5</v>
      </c>
      <c r="R279" s="25"/>
      <c r="S279" s="72"/>
      <c r="T279" s="111">
        <f t="shared" si="7"/>
        <v>0</v>
      </c>
      <c r="U279" s="11"/>
      <c r="V279" s="11"/>
      <c r="W279" s="11"/>
      <c r="X279" s="11"/>
      <c r="Y279" s="11"/>
      <c r="Z279" s="74"/>
      <c r="AA279" s="70"/>
      <c r="AB279" s="70"/>
      <c r="AC279" s="70"/>
      <c r="AD279" s="70"/>
      <c r="AE279" s="75"/>
    </row>
    <row r="280" spans="1:31" ht="38.25" thickBot="1">
      <c r="A280" s="236"/>
      <c r="B280" s="238"/>
      <c r="C280" s="18" t="s">
        <v>8</v>
      </c>
      <c r="D280" s="188"/>
      <c r="E280" s="188"/>
      <c r="F280" s="194"/>
      <c r="G280" s="18" t="s">
        <v>164</v>
      </c>
      <c r="H280" s="5">
        <f t="shared" si="6"/>
        <v>650</v>
      </c>
      <c r="I280" s="5"/>
      <c r="J280" s="5"/>
      <c r="K280" s="5"/>
      <c r="L280" s="5"/>
      <c r="M280" s="5"/>
      <c r="N280" s="5"/>
      <c r="O280" s="17"/>
      <c r="P280" s="17"/>
      <c r="Q280" s="17"/>
      <c r="R280" s="17">
        <v>650</v>
      </c>
      <c r="S280" s="58"/>
      <c r="T280" s="59">
        <f t="shared" si="7"/>
        <v>0</v>
      </c>
      <c r="U280" s="5"/>
      <c r="V280" s="5"/>
      <c r="W280" s="5"/>
      <c r="X280" s="5"/>
      <c r="Y280" s="5"/>
      <c r="Z280" s="60"/>
      <c r="AA280" s="57"/>
      <c r="AB280" s="57"/>
      <c r="AC280" s="57"/>
      <c r="AD280" s="57"/>
      <c r="AE280" s="61"/>
    </row>
    <row r="281" spans="1:31" s="100" customFormat="1" ht="37.5">
      <c r="A281" s="235">
        <f>A279+1</f>
        <v>134</v>
      </c>
      <c r="B281" s="237" t="s">
        <v>242</v>
      </c>
      <c r="C281" s="44" t="s">
        <v>68</v>
      </c>
      <c r="D281" s="187" t="s">
        <v>5</v>
      </c>
      <c r="E281" s="187" t="s">
        <v>5</v>
      </c>
      <c r="F281" s="192">
        <f>180/1000</f>
        <v>0.18</v>
      </c>
      <c r="G281" s="7" t="s">
        <v>337</v>
      </c>
      <c r="H281" s="11">
        <f t="shared" si="6"/>
        <v>58.5</v>
      </c>
      <c r="I281" s="11"/>
      <c r="J281" s="11"/>
      <c r="K281" s="11"/>
      <c r="L281" s="11"/>
      <c r="M281" s="11"/>
      <c r="N281" s="11"/>
      <c r="O281" s="25"/>
      <c r="P281" s="25"/>
      <c r="Q281" s="25">
        <v>58.5</v>
      </c>
      <c r="R281" s="25"/>
      <c r="S281" s="72"/>
      <c r="T281" s="111">
        <f t="shared" si="7"/>
        <v>0</v>
      </c>
      <c r="U281" s="11"/>
      <c r="V281" s="11"/>
      <c r="W281" s="11"/>
      <c r="X281" s="11"/>
      <c r="Y281" s="11"/>
      <c r="Z281" s="74"/>
      <c r="AA281" s="70"/>
      <c r="AB281" s="70"/>
      <c r="AC281" s="70"/>
      <c r="AD281" s="70"/>
      <c r="AE281" s="75"/>
    </row>
    <row r="282" spans="1:31" ht="38.25" thickBot="1">
      <c r="A282" s="236"/>
      <c r="B282" s="238"/>
      <c r="C282" s="18" t="s">
        <v>8</v>
      </c>
      <c r="D282" s="188"/>
      <c r="E282" s="188"/>
      <c r="F282" s="194"/>
      <c r="G282" s="18" t="s">
        <v>164</v>
      </c>
      <c r="H282" s="5">
        <f t="shared" si="6"/>
        <v>1170</v>
      </c>
      <c r="I282" s="5"/>
      <c r="J282" s="5"/>
      <c r="K282" s="5"/>
      <c r="L282" s="5"/>
      <c r="M282" s="5"/>
      <c r="N282" s="5"/>
      <c r="O282" s="17"/>
      <c r="P282" s="17"/>
      <c r="Q282" s="17"/>
      <c r="R282" s="17">
        <v>1170</v>
      </c>
      <c r="S282" s="58"/>
      <c r="T282" s="59">
        <f t="shared" si="7"/>
        <v>0</v>
      </c>
      <c r="U282" s="5"/>
      <c r="V282" s="5"/>
      <c r="W282" s="5"/>
      <c r="X282" s="5"/>
      <c r="Y282" s="5"/>
      <c r="Z282" s="60"/>
      <c r="AA282" s="57"/>
      <c r="AB282" s="57"/>
      <c r="AC282" s="57"/>
      <c r="AD282" s="57"/>
      <c r="AE282" s="61"/>
    </row>
    <row r="283" spans="1:31" s="100" customFormat="1" ht="38.25" customHeight="1">
      <c r="A283" s="235">
        <f>A281+1</f>
        <v>135</v>
      </c>
      <c r="B283" s="237" t="s">
        <v>243</v>
      </c>
      <c r="C283" s="44" t="s">
        <v>68</v>
      </c>
      <c r="D283" s="187" t="s">
        <v>5</v>
      </c>
      <c r="E283" s="187" t="s">
        <v>5</v>
      </c>
      <c r="F283" s="192">
        <f>810/1000</f>
        <v>0.81</v>
      </c>
      <c r="G283" s="7" t="s">
        <v>76</v>
      </c>
      <c r="H283" s="11">
        <f t="shared" si="6"/>
        <v>263.3</v>
      </c>
      <c r="I283" s="11"/>
      <c r="J283" s="11"/>
      <c r="K283" s="11"/>
      <c r="L283" s="11"/>
      <c r="M283" s="11"/>
      <c r="N283" s="11"/>
      <c r="O283" s="25"/>
      <c r="P283" s="25"/>
      <c r="Q283" s="25">
        <v>263.3</v>
      </c>
      <c r="R283" s="25"/>
      <c r="S283" s="72"/>
      <c r="T283" s="111">
        <f t="shared" si="7"/>
        <v>0</v>
      </c>
      <c r="U283" s="11"/>
      <c r="V283" s="11"/>
      <c r="W283" s="11"/>
      <c r="X283" s="11"/>
      <c r="Y283" s="11"/>
      <c r="Z283" s="74"/>
      <c r="AA283" s="70"/>
      <c r="AB283" s="70"/>
      <c r="AC283" s="70"/>
      <c r="AD283" s="70"/>
      <c r="AE283" s="75"/>
    </row>
    <row r="284" spans="1:31" ht="38.25" thickBot="1">
      <c r="A284" s="236"/>
      <c r="B284" s="238"/>
      <c r="C284" s="18" t="s">
        <v>8</v>
      </c>
      <c r="D284" s="188"/>
      <c r="E284" s="188"/>
      <c r="F284" s="194"/>
      <c r="G284" s="18" t="s">
        <v>164</v>
      </c>
      <c r="H284" s="5">
        <f t="shared" si="6"/>
        <v>5265</v>
      </c>
      <c r="I284" s="5"/>
      <c r="J284" s="5"/>
      <c r="K284" s="5"/>
      <c r="L284" s="5"/>
      <c r="M284" s="5"/>
      <c r="N284" s="5"/>
      <c r="O284" s="17"/>
      <c r="P284" s="17"/>
      <c r="Q284" s="17"/>
      <c r="R284" s="17">
        <v>5265</v>
      </c>
      <c r="S284" s="58"/>
      <c r="T284" s="59">
        <f t="shared" si="7"/>
        <v>0</v>
      </c>
      <c r="U284" s="5"/>
      <c r="V284" s="5"/>
      <c r="W284" s="5"/>
      <c r="X284" s="5"/>
      <c r="Y284" s="5"/>
      <c r="Z284" s="60"/>
      <c r="AA284" s="57"/>
      <c r="AB284" s="57"/>
      <c r="AC284" s="57"/>
      <c r="AD284" s="57"/>
      <c r="AE284" s="61"/>
    </row>
    <row r="285" spans="1:31" s="100" customFormat="1" ht="37.5">
      <c r="A285" s="235">
        <f>A283+1</f>
        <v>136</v>
      </c>
      <c r="B285" s="237" t="s">
        <v>244</v>
      </c>
      <c r="C285" s="44" t="s">
        <v>68</v>
      </c>
      <c r="D285" s="187" t="s">
        <v>5</v>
      </c>
      <c r="E285" s="187" t="s">
        <v>5</v>
      </c>
      <c r="F285" s="192">
        <f>340/1000</f>
        <v>0.34</v>
      </c>
      <c r="G285" s="7" t="s">
        <v>76</v>
      </c>
      <c r="H285" s="11">
        <f t="shared" si="6"/>
        <v>110.5</v>
      </c>
      <c r="I285" s="11"/>
      <c r="J285" s="11"/>
      <c r="K285" s="11"/>
      <c r="L285" s="11"/>
      <c r="M285" s="11"/>
      <c r="N285" s="11"/>
      <c r="O285" s="25"/>
      <c r="P285" s="25"/>
      <c r="Q285" s="25">
        <v>110.5</v>
      </c>
      <c r="R285" s="25"/>
      <c r="S285" s="72"/>
      <c r="T285" s="111">
        <f t="shared" si="7"/>
        <v>0</v>
      </c>
      <c r="U285" s="11"/>
      <c r="V285" s="11"/>
      <c r="W285" s="11"/>
      <c r="X285" s="11"/>
      <c r="Y285" s="11"/>
      <c r="Z285" s="74"/>
      <c r="AA285" s="70"/>
      <c r="AB285" s="70"/>
      <c r="AC285" s="70"/>
      <c r="AD285" s="70"/>
      <c r="AE285" s="75"/>
    </row>
    <row r="286" spans="1:31" ht="38.25" thickBot="1">
      <c r="A286" s="236"/>
      <c r="B286" s="238"/>
      <c r="C286" s="18" t="s">
        <v>8</v>
      </c>
      <c r="D286" s="188"/>
      <c r="E286" s="188"/>
      <c r="F286" s="194"/>
      <c r="G286" s="18" t="s">
        <v>164</v>
      </c>
      <c r="H286" s="5">
        <f t="shared" si="6"/>
        <v>2210</v>
      </c>
      <c r="I286" s="5"/>
      <c r="J286" s="5"/>
      <c r="K286" s="5"/>
      <c r="L286" s="5"/>
      <c r="M286" s="5"/>
      <c r="N286" s="5"/>
      <c r="O286" s="17"/>
      <c r="P286" s="17"/>
      <c r="Q286" s="17"/>
      <c r="R286" s="17">
        <v>2210</v>
      </c>
      <c r="S286" s="58"/>
      <c r="T286" s="59">
        <f t="shared" si="7"/>
        <v>0</v>
      </c>
      <c r="U286" s="5"/>
      <c r="V286" s="5"/>
      <c r="W286" s="5"/>
      <c r="X286" s="5"/>
      <c r="Y286" s="5"/>
      <c r="Z286" s="60"/>
      <c r="AA286" s="57"/>
      <c r="AB286" s="57"/>
      <c r="AC286" s="57"/>
      <c r="AD286" s="57"/>
      <c r="AE286" s="61"/>
    </row>
    <row r="287" spans="1:31" s="100" customFormat="1" ht="37.5">
      <c r="A287" s="235">
        <f>A285+1</f>
        <v>137</v>
      </c>
      <c r="B287" s="237" t="s">
        <v>245</v>
      </c>
      <c r="C287" s="44" t="s">
        <v>68</v>
      </c>
      <c r="D287" s="187" t="s">
        <v>5</v>
      </c>
      <c r="E287" s="187" t="s">
        <v>5</v>
      </c>
      <c r="F287" s="192">
        <f>670/1000</f>
        <v>0.67</v>
      </c>
      <c r="G287" s="7" t="s">
        <v>76</v>
      </c>
      <c r="H287" s="11">
        <f t="shared" si="6"/>
        <v>217.8</v>
      </c>
      <c r="I287" s="11"/>
      <c r="J287" s="11"/>
      <c r="K287" s="11"/>
      <c r="L287" s="11"/>
      <c r="M287" s="11"/>
      <c r="N287" s="11"/>
      <c r="O287" s="25"/>
      <c r="P287" s="25"/>
      <c r="Q287" s="25">
        <v>217.8</v>
      </c>
      <c r="R287" s="25"/>
      <c r="S287" s="72"/>
      <c r="T287" s="111">
        <f t="shared" si="7"/>
        <v>0</v>
      </c>
      <c r="U287" s="11"/>
      <c r="V287" s="11"/>
      <c r="W287" s="11"/>
      <c r="X287" s="11"/>
      <c r="Y287" s="11"/>
      <c r="Z287" s="74"/>
      <c r="AA287" s="70"/>
      <c r="AB287" s="70"/>
      <c r="AC287" s="70"/>
      <c r="AD287" s="70"/>
      <c r="AE287" s="75"/>
    </row>
    <row r="288" spans="1:31" ht="38.25" thickBot="1">
      <c r="A288" s="236"/>
      <c r="B288" s="238"/>
      <c r="C288" s="18" t="s">
        <v>8</v>
      </c>
      <c r="D288" s="188"/>
      <c r="E288" s="188"/>
      <c r="F288" s="194"/>
      <c r="G288" s="18" t="s">
        <v>164</v>
      </c>
      <c r="H288" s="5">
        <f t="shared" si="6"/>
        <v>4355</v>
      </c>
      <c r="I288" s="5"/>
      <c r="J288" s="5"/>
      <c r="K288" s="5"/>
      <c r="L288" s="5"/>
      <c r="M288" s="5"/>
      <c r="N288" s="5"/>
      <c r="O288" s="17"/>
      <c r="P288" s="17"/>
      <c r="Q288" s="17"/>
      <c r="R288" s="17">
        <v>4355</v>
      </c>
      <c r="S288" s="58"/>
      <c r="T288" s="59">
        <f t="shared" si="7"/>
        <v>0</v>
      </c>
      <c r="U288" s="5"/>
      <c r="V288" s="5"/>
      <c r="W288" s="5"/>
      <c r="X288" s="5"/>
      <c r="Y288" s="5"/>
      <c r="Z288" s="60"/>
      <c r="AA288" s="57"/>
      <c r="AB288" s="57"/>
      <c r="AC288" s="57"/>
      <c r="AD288" s="57"/>
      <c r="AE288" s="61"/>
    </row>
    <row r="289" spans="1:31" s="100" customFormat="1" ht="37.5">
      <c r="A289" s="235">
        <f>A287+1</f>
        <v>138</v>
      </c>
      <c r="B289" s="237" t="s">
        <v>246</v>
      </c>
      <c r="C289" s="44" t="s">
        <v>68</v>
      </c>
      <c r="D289" s="187" t="s">
        <v>5</v>
      </c>
      <c r="E289" s="187" t="s">
        <v>5</v>
      </c>
      <c r="F289" s="192">
        <f>320/1000</f>
        <v>0.32</v>
      </c>
      <c r="G289" s="7" t="s">
        <v>339</v>
      </c>
      <c r="H289" s="11">
        <f t="shared" si="6"/>
        <v>104</v>
      </c>
      <c r="I289" s="11"/>
      <c r="J289" s="11"/>
      <c r="K289" s="11"/>
      <c r="L289" s="11"/>
      <c r="M289" s="11"/>
      <c r="N289" s="11"/>
      <c r="O289" s="25"/>
      <c r="P289" s="25"/>
      <c r="Q289" s="25">
        <v>104</v>
      </c>
      <c r="R289" s="25"/>
      <c r="S289" s="72"/>
      <c r="T289" s="111">
        <f t="shared" si="7"/>
        <v>0</v>
      </c>
      <c r="U289" s="11"/>
      <c r="V289" s="11"/>
      <c r="W289" s="11"/>
      <c r="X289" s="11"/>
      <c r="Y289" s="11"/>
      <c r="Z289" s="74"/>
      <c r="AA289" s="70"/>
      <c r="AB289" s="70"/>
      <c r="AC289" s="70"/>
      <c r="AD289" s="70"/>
      <c r="AE289" s="75"/>
    </row>
    <row r="290" spans="1:31" ht="38.25" thickBot="1">
      <c r="A290" s="236"/>
      <c r="B290" s="238"/>
      <c r="C290" s="18" t="s">
        <v>8</v>
      </c>
      <c r="D290" s="188"/>
      <c r="E290" s="188"/>
      <c r="F290" s="194"/>
      <c r="G290" s="18" t="s">
        <v>164</v>
      </c>
      <c r="H290" s="5">
        <f t="shared" si="6"/>
        <v>2080</v>
      </c>
      <c r="I290" s="5"/>
      <c r="J290" s="5"/>
      <c r="K290" s="5"/>
      <c r="L290" s="5"/>
      <c r="M290" s="5"/>
      <c r="N290" s="5"/>
      <c r="O290" s="17"/>
      <c r="P290" s="17"/>
      <c r="Q290" s="17"/>
      <c r="R290" s="17">
        <v>2080</v>
      </c>
      <c r="S290" s="58"/>
      <c r="T290" s="59">
        <f t="shared" si="7"/>
        <v>0</v>
      </c>
      <c r="U290" s="5"/>
      <c r="V290" s="5"/>
      <c r="W290" s="5"/>
      <c r="X290" s="5"/>
      <c r="Y290" s="5"/>
      <c r="Z290" s="60"/>
      <c r="AA290" s="57"/>
      <c r="AB290" s="57"/>
      <c r="AC290" s="57"/>
      <c r="AD290" s="57"/>
      <c r="AE290" s="61"/>
    </row>
    <row r="291" spans="1:31" s="100" customFormat="1" ht="37.5">
      <c r="A291" s="235">
        <f>A289+1</f>
        <v>139</v>
      </c>
      <c r="B291" s="237" t="s">
        <v>247</v>
      </c>
      <c r="C291" s="44" t="s">
        <v>68</v>
      </c>
      <c r="D291" s="187" t="s">
        <v>5</v>
      </c>
      <c r="E291" s="187" t="s">
        <v>5</v>
      </c>
      <c r="F291" s="192">
        <f>550/1000</f>
        <v>0.55</v>
      </c>
      <c r="G291" s="7" t="s">
        <v>339</v>
      </c>
      <c r="H291" s="11">
        <f t="shared" si="6"/>
        <v>178.8</v>
      </c>
      <c r="I291" s="11"/>
      <c r="J291" s="11"/>
      <c r="K291" s="11"/>
      <c r="L291" s="11"/>
      <c r="M291" s="11"/>
      <c r="N291" s="11"/>
      <c r="O291" s="25"/>
      <c r="P291" s="25"/>
      <c r="Q291" s="25">
        <v>178.8</v>
      </c>
      <c r="R291" s="25"/>
      <c r="S291" s="72"/>
      <c r="T291" s="111">
        <f t="shared" si="7"/>
        <v>0</v>
      </c>
      <c r="U291" s="11"/>
      <c r="V291" s="11"/>
      <c r="W291" s="11"/>
      <c r="X291" s="11"/>
      <c r="Y291" s="11"/>
      <c r="Z291" s="74"/>
      <c r="AA291" s="70"/>
      <c r="AB291" s="70"/>
      <c r="AC291" s="70"/>
      <c r="AD291" s="70"/>
      <c r="AE291" s="75"/>
    </row>
    <row r="292" spans="1:31" ht="38.25" thickBot="1">
      <c r="A292" s="236"/>
      <c r="B292" s="238"/>
      <c r="C292" s="18" t="s">
        <v>8</v>
      </c>
      <c r="D292" s="188"/>
      <c r="E292" s="188"/>
      <c r="F292" s="194"/>
      <c r="G292" s="18" t="s">
        <v>164</v>
      </c>
      <c r="H292" s="5">
        <f t="shared" si="6"/>
        <v>3575</v>
      </c>
      <c r="I292" s="5"/>
      <c r="J292" s="5"/>
      <c r="K292" s="5"/>
      <c r="L292" s="5"/>
      <c r="M292" s="5"/>
      <c r="N292" s="5"/>
      <c r="O292" s="17"/>
      <c r="P292" s="17"/>
      <c r="Q292" s="17"/>
      <c r="R292" s="17">
        <v>3575</v>
      </c>
      <c r="S292" s="58"/>
      <c r="T292" s="59">
        <f t="shared" si="7"/>
        <v>0</v>
      </c>
      <c r="U292" s="5"/>
      <c r="V292" s="5"/>
      <c r="W292" s="5"/>
      <c r="X292" s="5"/>
      <c r="Y292" s="5"/>
      <c r="Z292" s="60"/>
      <c r="AA292" s="57"/>
      <c r="AB292" s="57"/>
      <c r="AC292" s="57"/>
      <c r="AD292" s="57"/>
      <c r="AE292" s="61"/>
    </row>
    <row r="293" spans="1:31" s="100" customFormat="1" ht="37.5">
      <c r="A293" s="235">
        <f>A291+1</f>
        <v>140</v>
      </c>
      <c r="B293" s="237" t="s">
        <v>248</v>
      </c>
      <c r="C293" s="44" t="s">
        <v>68</v>
      </c>
      <c r="D293" s="187" t="s">
        <v>5</v>
      </c>
      <c r="E293" s="187" t="s">
        <v>5</v>
      </c>
      <c r="F293" s="192">
        <f>200/1000</f>
        <v>0.2</v>
      </c>
      <c r="G293" s="7" t="s">
        <v>344</v>
      </c>
      <c r="H293" s="11">
        <f t="shared" si="6"/>
        <v>65</v>
      </c>
      <c r="I293" s="11"/>
      <c r="J293" s="11"/>
      <c r="K293" s="11"/>
      <c r="L293" s="11"/>
      <c r="M293" s="11"/>
      <c r="N293" s="11"/>
      <c r="O293" s="25"/>
      <c r="P293" s="25"/>
      <c r="Q293" s="25">
        <v>65</v>
      </c>
      <c r="R293" s="25"/>
      <c r="S293" s="72"/>
      <c r="T293" s="111">
        <f t="shared" si="7"/>
        <v>0</v>
      </c>
      <c r="U293" s="11"/>
      <c r="V293" s="11"/>
      <c r="W293" s="11"/>
      <c r="X293" s="11"/>
      <c r="Y293" s="11"/>
      <c r="Z293" s="74"/>
      <c r="AA293" s="70"/>
      <c r="AB293" s="70"/>
      <c r="AC293" s="70"/>
      <c r="AD293" s="70"/>
      <c r="AE293" s="75"/>
    </row>
    <row r="294" spans="1:31" ht="38.25" thickBot="1">
      <c r="A294" s="236"/>
      <c r="B294" s="238"/>
      <c r="C294" s="18" t="s">
        <v>8</v>
      </c>
      <c r="D294" s="188"/>
      <c r="E294" s="188"/>
      <c r="F294" s="194"/>
      <c r="G294" s="18" t="s">
        <v>164</v>
      </c>
      <c r="H294" s="5">
        <f t="shared" si="6"/>
        <v>1300</v>
      </c>
      <c r="I294" s="5"/>
      <c r="J294" s="5"/>
      <c r="K294" s="5"/>
      <c r="L294" s="5"/>
      <c r="M294" s="5"/>
      <c r="N294" s="5"/>
      <c r="O294" s="17"/>
      <c r="P294" s="17"/>
      <c r="Q294" s="17"/>
      <c r="R294" s="17">
        <v>1300</v>
      </c>
      <c r="S294" s="58"/>
      <c r="T294" s="59">
        <f t="shared" si="7"/>
        <v>0</v>
      </c>
      <c r="U294" s="5"/>
      <c r="V294" s="5"/>
      <c r="W294" s="5"/>
      <c r="X294" s="5"/>
      <c r="Y294" s="5"/>
      <c r="Z294" s="60"/>
      <c r="AA294" s="57"/>
      <c r="AB294" s="57"/>
      <c r="AC294" s="57"/>
      <c r="AD294" s="57"/>
      <c r="AE294" s="61"/>
    </row>
    <row r="295" spans="1:31" s="100" customFormat="1" ht="37.5">
      <c r="A295" s="235">
        <f>A293+1</f>
        <v>141</v>
      </c>
      <c r="B295" s="237" t="s">
        <v>249</v>
      </c>
      <c r="C295" s="44" t="s">
        <v>68</v>
      </c>
      <c r="D295" s="187" t="s">
        <v>5</v>
      </c>
      <c r="E295" s="187" t="s">
        <v>5</v>
      </c>
      <c r="F295" s="192">
        <f>220/1000</f>
        <v>0.22</v>
      </c>
      <c r="G295" s="7" t="s">
        <v>76</v>
      </c>
      <c r="H295" s="11">
        <f t="shared" si="6"/>
        <v>71.5</v>
      </c>
      <c r="I295" s="11"/>
      <c r="J295" s="11"/>
      <c r="K295" s="11"/>
      <c r="L295" s="11"/>
      <c r="M295" s="11"/>
      <c r="N295" s="11"/>
      <c r="O295" s="25"/>
      <c r="P295" s="25"/>
      <c r="Q295" s="25"/>
      <c r="R295" s="25">
        <v>71.5</v>
      </c>
      <c r="S295" s="72"/>
      <c r="T295" s="111">
        <f t="shared" si="7"/>
        <v>0</v>
      </c>
      <c r="U295" s="11"/>
      <c r="V295" s="11"/>
      <c r="W295" s="11"/>
      <c r="X295" s="11"/>
      <c r="Y295" s="11"/>
      <c r="Z295" s="74"/>
      <c r="AA295" s="70"/>
      <c r="AB295" s="70"/>
      <c r="AC295" s="70"/>
      <c r="AD295" s="70"/>
      <c r="AE295" s="75"/>
    </row>
    <row r="296" spans="1:31" ht="38.25" thickBot="1">
      <c r="A296" s="236"/>
      <c r="B296" s="238"/>
      <c r="C296" s="18" t="s">
        <v>8</v>
      </c>
      <c r="D296" s="188"/>
      <c r="E296" s="188"/>
      <c r="F296" s="194"/>
      <c r="G296" s="18" t="s">
        <v>175</v>
      </c>
      <c r="H296" s="5">
        <f t="shared" si="6"/>
        <v>1430</v>
      </c>
      <c r="I296" s="5"/>
      <c r="J296" s="5"/>
      <c r="K296" s="5"/>
      <c r="L296" s="5"/>
      <c r="M296" s="5"/>
      <c r="N296" s="5"/>
      <c r="O296" s="17"/>
      <c r="P296" s="17"/>
      <c r="Q296" s="17"/>
      <c r="R296" s="17"/>
      <c r="S296" s="58">
        <v>1430</v>
      </c>
      <c r="T296" s="59">
        <f t="shared" si="7"/>
        <v>0</v>
      </c>
      <c r="U296" s="5"/>
      <c r="V296" s="5"/>
      <c r="W296" s="5"/>
      <c r="X296" s="5"/>
      <c r="Y296" s="5"/>
      <c r="Z296" s="60"/>
      <c r="AA296" s="57"/>
      <c r="AB296" s="57"/>
      <c r="AC296" s="57"/>
      <c r="AD296" s="57"/>
      <c r="AE296" s="61"/>
    </row>
    <row r="297" spans="1:31" s="100" customFormat="1" ht="37.5">
      <c r="A297" s="235">
        <f>A295+1</f>
        <v>142</v>
      </c>
      <c r="B297" s="237" t="s">
        <v>250</v>
      </c>
      <c r="C297" s="44" t="s">
        <v>68</v>
      </c>
      <c r="D297" s="187" t="s">
        <v>5</v>
      </c>
      <c r="E297" s="187" t="s">
        <v>5</v>
      </c>
      <c r="F297" s="192">
        <f>400/1000</f>
        <v>0.4</v>
      </c>
      <c r="G297" s="7" t="s">
        <v>76</v>
      </c>
      <c r="H297" s="11">
        <f t="shared" si="6"/>
        <v>130</v>
      </c>
      <c r="I297" s="11"/>
      <c r="J297" s="11"/>
      <c r="K297" s="11"/>
      <c r="L297" s="11"/>
      <c r="M297" s="11"/>
      <c r="N297" s="11"/>
      <c r="O297" s="25"/>
      <c r="P297" s="25"/>
      <c r="Q297" s="25">
        <v>130</v>
      </c>
      <c r="R297" s="25"/>
      <c r="S297" s="72"/>
      <c r="T297" s="111">
        <f t="shared" si="7"/>
        <v>0</v>
      </c>
      <c r="U297" s="11"/>
      <c r="V297" s="11"/>
      <c r="W297" s="11"/>
      <c r="X297" s="11"/>
      <c r="Y297" s="11"/>
      <c r="Z297" s="74"/>
      <c r="AA297" s="70"/>
      <c r="AB297" s="70"/>
      <c r="AC297" s="70"/>
      <c r="AD297" s="70"/>
      <c r="AE297" s="75"/>
    </row>
    <row r="298" spans="1:31" ht="38.25" thickBot="1">
      <c r="A298" s="236"/>
      <c r="B298" s="238"/>
      <c r="C298" s="18" t="s">
        <v>8</v>
      </c>
      <c r="D298" s="188"/>
      <c r="E298" s="188"/>
      <c r="F298" s="194"/>
      <c r="G298" s="18" t="s">
        <v>164</v>
      </c>
      <c r="H298" s="5">
        <f t="shared" si="6"/>
        <v>2600</v>
      </c>
      <c r="I298" s="5"/>
      <c r="J298" s="5"/>
      <c r="K298" s="5"/>
      <c r="L298" s="5"/>
      <c r="M298" s="5"/>
      <c r="N298" s="5"/>
      <c r="O298" s="17"/>
      <c r="P298" s="17"/>
      <c r="Q298" s="17"/>
      <c r="R298" s="17">
        <v>2600</v>
      </c>
      <c r="S298" s="58"/>
      <c r="T298" s="59">
        <f t="shared" si="7"/>
        <v>0</v>
      </c>
      <c r="U298" s="5"/>
      <c r="V298" s="5"/>
      <c r="W298" s="5"/>
      <c r="X298" s="5"/>
      <c r="Y298" s="5"/>
      <c r="Z298" s="60"/>
      <c r="AA298" s="57"/>
      <c r="AB298" s="57"/>
      <c r="AC298" s="57"/>
      <c r="AD298" s="57"/>
      <c r="AE298" s="61"/>
    </row>
    <row r="299" spans="1:31" s="100" customFormat="1" ht="37.5">
      <c r="A299" s="235">
        <f>A297+1</f>
        <v>143</v>
      </c>
      <c r="B299" s="237" t="s">
        <v>251</v>
      </c>
      <c r="C299" s="44" t="s">
        <v>68</v>
      </c>
      <c r="D299" s="187" t="s">
        <v>5</v>
      </c>
      <c r="E299" s="187" t="s">
        <v>5</v>
      </c>
      <c r="F299" s="192">
        <f>350/1000</f>
        <v>0.35</v>
      </c>
      <c r="G299" s="7" t="s">
        <v>340</v>
      </c>
      <c r="H299" s="11">
        <f t="shared" si="6"/>
        <v>113.8</v>
      </c>
      <c r="I299" s="11"/>
      <c r="J299" s="11"/>
      <c r="K299" s="11"/>
      <c r="L299" s="11"/>
      <c r="M299" s="11"/>
      <c r="N299" s="11"/>
      <c r="O299" s="25"/>
      <c r="P299" s="25"/>
      <c r="Q299" s="25">
        <v>113.8</v>
      </c>
      <c r="R299" s="25"/>
      <c r="S299" s="72"/>
      <c r="T299" s="111">
        <f t="shared" si="7"/>
        <v>0</v>
      </c>
      <c r="U299" s="11"/>
      <c r="V299" s="11"/>
      <c r="W299" s="11"/>
      <c r="X299" s="11"/>
      <c r="Y299" s="11"/>
      <c r="Z299" s="74"/>
      <c r="AA299" s="70"/>
      <c r="AB299" s="70"/>
      <c r="AC299" s="70"/>
      <c r="AD299" s="70"/>
      <c r="AE299" s="75"/>
    </row>
    <row r="300" spans="1:31" ht="38.25" thickBot="1">
      <c r="A300" s="236"/>
      <c r="B300" s="238"/>
      <c r="C300" s="18" t="s">
        <v>8</v>
      </c>
      <c r="D300" s="188"/>
      <c r="E300" s="188"/>
      <c r="F300" s="194"/>
      <c r="G300" s="18" t="s">
        <v>164</v>
      </c>
      <c r="H300" s="5">
        <f t="shared" si="6"/>
        <v>2275</v>
      </c>
      <c r="I300" s="5"/>
      <c r="J300" s="5"/>
      <c r="K300" s="5"/>
      <c r="L300" s="5"/>
      <c r="M300" s="5"/>
      <c r="N300" s="5"/>
      <c r="O300" s="17"/>
      <c r="P300" s="17"/>
      <c r="Q300" s="17"/>
      <c r="R300" s="17">
        <v>2275</v>
      </c>
      <c r="S300" s="58"/>
      <c r="T300" s="59">
        <f t="shared" si="7"/>
        <v>0</v>
      </c>
      <c r="U300" s="5"/>
      <c r="V300" s="5"/>
      <c r="W300" s="5"/>
      <c r="X300" s="5"/>
      <c r="Y300" s="5"/>
      <c r="Z300" s="60"/>
      <c r="AA300" s="57"/>
      <c r="AB300" s="57"/>
      <c r="AC300" s="57"/>
      <c r="AD300" s="57"/>
      <c r="AE300" s="61"/>
    </row>
    <row r="301" spans="1:31" s="100" customFormat="1" ht="37.5">
      <c r="A301" s="235">
        <f>A299+1</f>
        <v>144</v>
      </c>
      <c r="B301" s="237" t="s">
        <v>252</v>
      </c>
      <c r="C301" s="44" t="s">
        <v>68</v>
      </c>
      <c r="D301" s="187" t="s">
        <v>5</v>
      </c>
      <c r="E301" s="187" t="s">
        <v>5</v>
      </c>
      <c r="F301" s="192">
        <f>850/1000</f>
        <v>0.85</v>
      </c>
      <c r="G301" s="7" t="s">
        <v>76</v>
      </c>
      <c r="H301" s="11">
        <f t="shared" si="6"/>
        <v>1592.7</v>
      </c>
      <c r="I301" s="11"/>
      <c r="J301" s="11"/>
      <c r="K301" s="11"/>
      <c r="L301" s="11"/>
      <c r="M301" s="11"/>
      <c r="N301" s="11"/>
      <c r="O301" s="25"/>
      <c r="P301" s="25"/>
      <c r="Q301" s="25">
        <v>1592.7</v>
      </c>
      <c r="R301" s="25"/>
      <c r="S301" s="72"/>
      <c r="T301" s="111">
        <f aca="true" t="shared" si="8" ref="T301:T364">SUM(U301:AE301)</f>
        <v>0</v>
      </c>
      <c r="U301" s="11"/>
      <c r="V301" s="11"/>
      <c r="W301" s="11"/>
      <c r="X301" s="11"/>
      <c r="Y301" s="11"/>
      <c r="Z301" s="74"/>
      <c r="AA301" s="70"/>
      <c r="AB301" s="70"/>
      <c r="AC301" s="70"/>
      <c r="AD301" s="70"/>
      <c r="AE301" s="75"/>
    </row>
    <row r="302" spans="1:31" ht="38.25" thickBot="1">
      <c r="A302" s="236"/>
      <c r="B302" s="238"/>
      <c r="C302" s="18" t="s">
        <v>8</v>
      </c>
      <c r="D302" s="188"/>
      <c r="E302" s="188"/>
      <c r="F302" s="194"/>
      <c r="G302" s="18" t="s">
        <v>164</v>
      </c>
      <c r="H302" s="5">
        <f t="shared" si="6"/>
        <v>8000</v>
      </c>
      <c r="I302" s="5"/>
      <c r="J302" s="5"/>
      <c r="K302" s="5"/>
      <c r="L302" s="5"/>
      <c r="M302" s="5"/>
      <c r="N302" s="5"/>
      <c r="O302" s="17"/>
      <c r="P302" s="17"/>
      <c r="Q302" s="17"/>
      <c r="R302" s="17">
        <v>8000</v>
      </c>
      <c r="S302" s="58"/>
      <c r="T302" s="59">
        <f t="shared" si="8"/>
        <v>0</v>
      </c>
      <c r="U302" s="5"/>
      <c r="V302" s="5"/>
      <c r="W302" s="5"/>
      <c r="X302" s="5"/>
      <c r="Y302" s="5"/>
      <c r="Z302" s="60"/>
      <c r="AA302" s="57"/>
      <c r="AB302" s="57"/>
      <c r="AC302" s="57"/>
      <c r="AD302" s="57"/>
      <c r="AE302" s="61"/>
    </row>
    <row r="303" spans="1:31" s="100" customFormat="1" ht="18.75">
      <c r="A303" s="235">
        <f>A301+1</f>
        <v>145</v>
      </c>
      <c r="B303" s="237" t="s">
        <v>253</v>
      </c>
      <c r="C303" s="7" t="s">
        <v>304</v>
      </c>
      <c r="D303" s="71"/>
      <c r="E303" s="71"/>
      <c r="F303" s="192" t="s">
        <v>17</v>
      </c>
      <c r="G303" s="7" t="s">
        <v>76</v>
      </c>
      <c r="H303" s="11">
        <f t="shared" si="6"/>
        <v>14000</v>
      </c>
      <c r="I303" s="11"/>
      <c r="J303" s="11"/>
      <c r="K303" s="11"/>
      <c r="L303" s="11"/>
      <c r="M303" s="11"/>
      <c r="N303" s="11"/>
      <c r="O303" s="25"/>
      <c r="P303" s="25"/>
      <c r="Q303" s="25">
        <v>14000</v>
      </c>
      <c r="R303" s="25"/>
      <c r="S303" s="72"/>
      <c r="T303" s="111">
        <f t="shared" si="8"/>
        <v>0</v>
      </c>
      <c r="U303" s="11"/>
      <c r="V303" s="11"/>
      <c r="W303" s="11"/>
      <c r="X303" s="11"/>
      <c r="Y303" s="11"/>
      <c r="Z303" s="74"/>
      <c r="AA303" s="70"/>
      <c r="AB303" s="70"/>
      <c r="AC303" s="70"/>
      <c r="AD303" s="70"/>
      <c r="AE303" s="75"/>
    </row>
    <row r="304" spans="1:31" ht="57" thickBot="1">
      <c r="A304" s="236"/>
      <c r="B304" s="238"/>
      <c r="C304" s="18" t="s">
        <v>8</v>
      </c>
      <c r="D304" s="16" t="s">
        <v>5</v>
      </c>
      <c r="E304" s="16" t="s">
        <v>5</v>
      </c>
      <c r="F304" s="194"/>
      <c r="G304" s="18" t="s">
        <v>175</v>
      </c>
      <c r="H304" s="5">
        <f t="shared" si="6"/>
        <v>292000</v>
      </c>
      <c r="I304" s="5"/>
      <c r="J304" s="5"/>
      <c r="K304" s="5"/>
      <c r="L304" s="5"/>
      <c r="M304" s="5"/>
      <c r="N304" s="5"/>
      <c r="O304" s="17"/>
      <c r="P304" s="17"/>
      <c r="Q304" s="17"/>
      <c r="R304" s="17">
        <v>146000</v>
      </c>
      <c r="S304" s="58">
        <v>146000</v>
      </c>
      <c r="T304" s="59">
        <f t="shared" si="8"/>
        <v>0</v>
      </c>
      <c r="U304" s="5"/>
      <c r="V304" s="5"/>
      <c r="W304" s="5"/>
      <c r="X304" s="5"/>
      <c r="Y304" s="5"/>
      <c r="Z304" s="60"/>
      <c r="AA304" s="57"/>
      <c r="AB304" s="57"/>
      <c r="AC304" s="57"/>
      <c r="AD304" s="57"/>
      <c r="AE304" s="61"/>
    </row>
    <row r="305" spans="1:31" ht="57" thickBot="1">
      <c r="A305" s="109">
        <v>146</v>
      </c>
      <c r="B305" s="108" t="s">
        <v>305</v>
      </c>
      <c r="C305" s="44" t="s">
        <v>68</v>
      </c>
      <c r="D305" s="16" t="s">
        <v>5</v>
      </c>
      <c r="E305" s="16" t="s">
        <v>5</v>
      </c>
      <c r="F305" s="17"/>
      <c r="G305" s="18" t="s">
        <v>76</v>
      </c>
      <c r="H305" s="5">
        <f t="shared" si="6"/>
        <v>6000</v>
      </c>
      <c r="I305" s="5"/>
      <c r="J305" s="5"/>
      <c r="K305" s="5"/>
      <c r="L305" s="5"/>
      <c r="M305" s="5"/>
      <c r="N305" s="5"/>
      <c r="O305" s="17"/>
      <c r="P305" s="17"/>
      <c r="Q305" s="17">
        <v>4000</v>
      </c>
      <c r="R305" s="17">
        <v>2000</v>
      </c>
      <c r="S305" s="58"/>
      <c r="T305" s="59">
        <f t="shared" si="8"/>
        <v>0</v>
      </c>
      <c r="U305" s="5"/>
      <c r="V305" s="5"/>
      <c r="W305" s="5"/>
      <c r="X305" s="5"/>
      <c r="Y305" s="5"/>
      <c r="Z305" s="60"/>
      <c r="AA305" s="57"/>
      <c r="AB305" s="57"/>
      <c r="AC305" s="57"/>
      <c r="AD305" s="57"/>
      <c r="AE305" s="61"/>
    </row>
    <row r="306" spans="1:31" s="100" customFormat="1" ht="64.5" customHeight="1">
      <c r="A306" s="235">
        <v>147</v>
      </c>
      <c r="B306" s="237" t="s">
        <v>254</v>
      </c>
      <c r="C306" s="44" t="s">
        <v>68</v>
      </c>
      <c r="D306" s="187" t="s">
        <v>5</v>
      </c>
      <c r="E306" s="187" t="s">
        <v>5</v>
      </c>
      <c r="F306" s="192">
        <f>5800/1000</f>
        <v>5.8</v>
      </c>
      <c r="G306" s="7" t="s">
        <v>76</v>
      </c>
      <c r="H306" s="11">
        <f t="shared" si="6"/>
        <v>13020</v>
      </c>
      <c r="I306" s="11"/>
      <c r="J306" s="11"/>
      <c r="K306" s="11"/>
      <c r="L306" s="11"/>
      <c r="M306" s="11"/>
      <c r="N306" s="11"/>
      <c r="O306" s="25"/>
      <c r="P306" s="25"/>
      <c r="Q306" s="25">
        <v>13020</v>
      </c>
      <c r="R306" s="25"/>
      <c r="S306" s="72"/>
      <c r="T306" s="111">
        <f t="shared" si="8"/>
        <v>0</v>
      </c>
      <c r="U306" s="11"/>
      <c r="V306" s="11"/>
      <c r="W306" s="11"/>
      <c r="X306" s="11"/>
      <c r="Y306" s="11"/>
      <c r="Z306" s="74"/>
      <c r="AA306" s="70"/>
      <c r="AB306" s="70"/>
      <c r="AC306" s="70"/>
      <c r="AD306" s="70"/>
      <c r="AE306" s="75"/>
    </row>
    <row r="307" spans="1:31" ht="64.5" customHeight="1" thickBot="1">
      <c r="A307" s="236"/>
      <c r="B307" s="238"/>
      <c r="C307" s="18" t="s">
        <v>8</v>
      </c>
      <c r="D307" s="188"/>
      <c r="E307" s="188"/>
      <c r="F307" s="194"/>
      <c r="G307" s="18" t="s">
        <v>164</v>
      </c>
      <c r="H307" s="5">
        <f t="shared" si="6"/>
        <v>100000</v>
      </c>
      <c r="I307" s="5"/>
      <c r="J307" s="5"/>
      <c r="K307" s="5"/>
      <c r="L307" s="5"/>
      <c r="M307" s="5"/>
      <c r="N307" s="5"/>
      <c r="O307" s="17"/>
      <c r="P307" s="17"/>
      <c r="Q307" s="17"/>
      <c r="R307" s="17">
        <v>100000</v>
      </c>
      <c r="S307" s="58"/>
      <c r="T307" s="59">
        <f t="shared" si="8"/>
        <v>0</v>
      </c>
      <c r="U307" s="5"/>
      <c r="V307" s="5"/>
      <c r="W307" s="5"/>
      <c r="X307" s="5"/>
      <c r="Y307" s="5"/>
      <c r="Z307" s="60"/>
      <c r="AA307" s="57"/>
      <c r="AB307" s="57"/>
      <c r="AC307" s="57"/>
      <c r="AD307" s="57"/>
      <c r="AE307" s="61"/>
    </row>
    <row r="308" spans="1:31" s="100" customFormat="1" ht="37.5">
      <c r="A308" s="235">
        <f>A306+1</f>
        <v>148</v>
      </c>
      <c r="B308" s="237" t="s">
        <v>255</v>
      </c>
      <c r="C308" s="44" t="s">
        <v>68</v>
      </c>
      <c r="D308" s="187" t="s">
        <v>5</v>
      </c>
      <c r="E308" s="187" t="s">
        <v>5</v>
      </c>
      <c r="F308" s="192" t="s">
        <v>256</v>
      </c>
      <c r="G308" s="7" t="s">
        <v>76</v>
      </c>
      <c r="H308" s="11">
        <f t="shared" si="6"/>
        <v>1000</v>
      </c>
      <c r="I308" s="11"/>
      <c r="J308" s="11"/>
      <c r="K308" s="11"/>
      <c r="L308" s="11"/>
      <c r="M308" s="11"/>
      <c r="N308" s="11"/>
      <c r="O308" s="25"/>
      <c r="P308" s="25"/>
      <c r="Q308" s="25">
        <v>1000</v>
      </c>
      <c r="R308" s="25"/>
      <c r="S308" s="72"/>
      <c r="T308" s="111">
        <f t="shared" si="8"/>
        <v>0</v>
      </c>
      <c r="U308" s="11"/>
      <c r="V308" s="11"/>
      <c r="W308" s="11"/>
      <c r="X308" s="11"/>
      <c r="Y308" s="11"/>
      <c r="Z308" s="74"/>
      <c r="AA308" s="70"/>
      <c r="AB308" s="70"/>
      <c r="AC308" s="70"/>
      <c r="AD308" s="70"/>
      <c r="AE308" s="75"/>
    </row>
    <row r="309" spans="1:31" ht="38.25" thickBot="1">
      <c r="A309" s="236"/>
      <c r="B309" s="238"/>
      <c r="C309" s="18" t="s">
        <v>8</v>
      </c>
      <c r="D309" s="188"/>
      <c r="E309" s="188"/>
      <c r="F309" s="194"/>
      <c r="G309" s="18" t="s">
        <v>164</v>
      </c>
      <c r="H309" s="5">
        <f t="shared" si="6"/>
        <v>5400</v>
      </c>
      <c r="I309" s="5"/>
      <c r="J309" s="5"/>
      <c r="K309" s="5"/>
      <c r="L309" s="5"/>
      <c r="M309" s="5"/>
      <c r="N309" s="5"/>
      <c r="O309" s="17"/>
      <c r="P309" s="17"/>
      <c r="Q309" s="17"/>
      <c r="R309" s="17">
        <v>5400</v>
      </c>
      <c r="S309" s="58"/>
      <c r="T309" s="59">
        <f t="shared" si="8"/>
        <v>0</v>
      </c>
      <c r="U309" s="5"/>
      <c r="V309" s="5"/>
      <c r="W309" s="5"/>
      <c r="X309" s="5"/>
      <c r="Y309" s="5"/>
      <c r="Z309" s="60"/>
      <c r="AA309" s="57"/>
      <c r="AB309" s="57"/>
      <c r="AC309" s="57"/>
      <c r="AD309" s="57"/>
      <c r="AE309" s="61"/>
    </row>
    <row r="310" spans="1:31" s="100" customFormat="1" ht="37.5">
      <c r="A310" s="235">
        <f>A308+1</f>
        <v>149</v>
      </c>
      <c r="B310" s="237" t="s">
        <v>257</v>
      </c>
      <c r="C310" s="44" t="s">
        <v>68</v>
      </c>
      <c r="D310" s="187" t="s">
        <v>5</v>
      </c>
      <c r="E310" s="187" t="s">
        <v>5</v>
      </c>
      <c r="F310" s="192" t="s">
        <v>17</v>
      </c>
      <c r="G310" s="7" t="s">
        <v>76</v>
      </c>
      <c r="H310" s="11">
        <f t="shared" si="6"/>
        <v>820</v>
      </c>
      <c r="I310" s="11"/>
      <c r="J310" s="11"/>
      <c r="K310" s="11"/>
      <c r="L310" s="11"/>
      <c r="M310" s="11"/>
      <c r="N310" s="11"/>
      <c r="O310" s="25"/>
      <c r="P310" s="25"/>
      <c r="Q310" s="25">
        <v>820</v>
      </c>
      <c r="R310" s="25"/>
      <c r="S310" s="72"/>
      <c r="T310" s="111">
        <f t="shared" si="8"/>
        <v>0</v>
      </c>
      <c r="U310" s="11"/>
      <c r="V310" s="11"/>
      <c r="W310" s="11"/>
      <c r="X310" s="11"/>
      <c r="Y310" s="11"/>
      <c r="Z310" s="74"/>
      <c r="AA310" s="70"/>
      <c r="AB310" s="70"/>
      <c r="AC310" s="70"/>
      <c r="AD310" s="70"/>
      <c r="AE310" s="75"/>
    </row>
    <row r="311" spans="1:31" ht="38.25" thickBot="1">
      <c r="A311" s="236"/>
      <c r="B311" s="238"/>
      <c r="C311" s="18" t="s">
        <v>8</v>
      </c>
      <c r="D311" s="188"/>
      <c r="E311" s="188"/>
      <c r="F311" s="194"/>
      <c r="G311" s="18" t="s">
        <v>175</v>
      </c>
      <c r="H311" s="5">
        <f t="shared" si="6"/>
        <v>13480</v>
      </c>
      <c r="I311" s="5"/>
      <c r="J311" s="5"/>
      <c r="K311" s="5"/>
      <c r="L311" s="5"/>
      <c r="M311" s="5"/>
      <c r="N311" s="5"/>
      <c r="O311" s="17"/>
      <c r="P311" s="17"/>
      <c r="Q311" s="17"/>
      <c r="R311" s="17">
        <v>3480</v>
      </c>
      <c r="S311" s="58">
        <v>10000</v>
      </c>
      <c r="T311" s="59">
        <f t="shared" si="8"/>
        <v>0</v>
      </c>
      <c r="U311" s="5"/>
      <c r="V311" s="5"/>
      <c r="W311" s="5"/>
      <c r="X311" s="5"/>
      <c r="Y311" s="5"/>
      <c r="Z311" s="60"/>
      <c r="AA311" s="57"/>
      <c r="AB311" s="57"/>
      <c r="AC311" s="57"/>
      <c r="AD311" s="57"/>
      <c r="AE311" s="61"/>
    </row>
    <row r="312" spans="1:31" s="100" customFormat="1" ht="37.5">
      <c r="A312" s="235">
        <f>A310+1</f>
        <v>150</v>
      </c>
      <c r="B312" s="237" t="s">
        <v>258</v>
      </c>
      <c r="C312" s="44" t="s">
        <v>68</v>
      </c>
      <c r="D312" s="187" t="s">
        <v>5</v>
      </c>
      <c r="E312" s="187" t="s">
        <v>5</v>
      </c>
      <c r="F312" s="192">
        <f>1000/1000</f>
        <v>1</v>
      </c>
      <c r="G312" s="7" t="s">
        <v>76</v>
      </c>
      <c r="H312" s="11">
        <f t="shared" si="6"/>
        <v>1500</v>
      </c>
      <c r="I312" s="11"/>
      <c r="J312" s="11"/>
      <c r="K312" s="11"/>
      <c r="L312" s="11"/>
      <c r="M312" s="11"/>
      <c r="N312" s="11"/>
      <c r="O312" s="25"/>
      <c r="P312" s="25"/>
      <c r="Q312" s="25">
        <v>1500</v>
      </c>
      <c r="R312" s="25"/>
      <c r="S312" s="72"/>
      <c r="T312" s="111">
        <f t="shared" si="8"/>
        <v>0</v>
      </c>
      <c r="U312" s="11"/>
      <c r="V312" s="11"/>
      <c r="W312" s="11"/>
      <c r="X312" s="11"/>
      <c r="Y312" s="11"/>
      <c r="Z312" s="74"/>
      <c r="AA312" s="70"/>
      <c r="AB312" s="70"/>
      <c r="AC312" s="70"/>
      <c r="AD312" s="70"/>
      <c r="AE312" s="75"/>
    </row>
    <row r="313" spans="1:31" ht="38.25" thickBot="1">
      <c r="A313" s="236"/>
      <c r="B313" s="238"/>
      <c r="C313" s="18" t="s">
        <v>8</v>
      </c>
      <c r="D313" s="188"/>
      <c r="E313" s="188"/>
      <c r="F313" s="194"/>
      <c r="G313" s="18" t="s">
        <v>164</v>
      </c>
      <c r="H313" s="5">
        <f t="shared" si="6"/>
        <v>14000</v>
      </c>
      <c r="I313" s="5"/>
      <c r="J313" s="5"/>
      <c r="K313" s="5"/>
      <c r="L313" s="5"/>
      <c r="M313" s="5"/>
      <c r="N313" s="5"/>
      <c r="O313" s="17"/>
      <c r="P313" s="17"/>
      <c r="Q313" s="17"/>
      <c r="R313" s="17">
        <v>14000</v>
      </c>
      <c r="S313" s="58"/>
      <c r="T313" s="59">
        <f t="shared" si="8"/>
        <v>0</v>
      </c>
      <c r="U313" s="5"/>
      <c r="V313" s="5"/>
      <c r="W313" s="5"/>
      <c r="X313" s="5"/>
      <c r="Y313" s="5"/>
      <c r="Z313" s="60"/>
      <c r="AA313" s="57"/>
      <c r="AB313" s="57"/>
      <c r="AC313" s="57"/>
      <c r="AD313" s="57"/>
      <c r="AE313" s="61"/>
    </row>
    <row r="314" spans="1:31" s="100" customFormat="1" ht="37.5">
      <c r="A314" s="235">
        <f>A312+1</f>
        <v>151</v>
      </c>
      <c r="B314" s="237" t="s">
        <v>259</v>
      </c>
      <c r="C314" s="44" t="s">
        <v>68</v>
      </c>
      <c r="D314" s="187" t="s">
        <v>5</v>
      </c>
      <c r="E314" s="187" t="s">
        <v>5</v>
      </c>
      <c r="F314" s="192">
        <f>800/1000</f>
        <v>0.8</v>
      </c>
      <c r="G314" s="7" t="s">
        <v>76</v>
      </c>
      <c r="H314" s="11">
        <f t="shared" si="6"/>
        <v>3086.2</v>
      </c>
      <c r="I314" s="11"/>
      <c r="J314" s="11"/>
      <c r="K314" s="11"/>
      <c r="L314" s="11"/>
      <c r="M314" s="11"/>
      <c r="N314" s="11"/>
      <c r="O314" s="25">
        <v>3086.2</v>
      </c>
      <c r="P314" s="25"/>
      <c r="Q314" s="25"/>
      <c r="R314" s="25"/>
      <c r="S314" s="72"/>
      <c r="T314" s="111">
        <f t="shared" si="8"/>
        <v>0</v>
      </c>
      <c r="U314" s="11"/>
      <c r="V314" s="11"/>
      <c r="W314" s="11"/>
      <c r="X314" s="11"/>
      <c r="Y314" s="11"/>
      <c r="Z314" s="74"/>
      <c r="AA314" s="70"/>
      <c r="AB314" s="70"/>
      <c r="AC314" s="70"/>
      <c r="AD314" s="70"/>
      <c r="AE314" s="75"/>
    </row>
    <row r="315" spans="1:31" ht="38.25" thickBot="1">
      <c r="A315" s="236"/>
      <c r="B315" s="238"/>
      <c r="C315" s="18" t="s">
        <v>8</v>
      </c>
      <c r="D315" s="188"/>
      <c r="E315" s="188"/>
      <c r="F315" s="194"/>
      <c r="G315" s="18" t="s">
        <v>75</v>
      </c>
      <c r="H315" s="5">
        <f t="shared" si="6"/>
        <v>0</v>
      </c>
      <c r="I315" s="5"/>
      <c r="J315" s="5"/>
      <c r="K315" s="5"/>
      <c r="L315" s="5"/>
      <c r="M315" s="5"/>
      <c r="N315" s="5"/>
      <c r="O315" s="17"/>
      <c r="P315" s="17"/>
      <c r="Q315" s="17"/>
      <c r="R315" s="17"/>
      <c r="S315" s="58"/>
      <c r="T315" s="59">
        <f t="shared" si="8"/>
        <v>0</v>
      </c>
      <c r="U315" s="5"/>
      <c r="V315" s="5"/>
      <c r="W315" s="5"/>
      <c r="X315" s="5"/>
      <c r="Y315" s="5"/>
      <c r="Z315" s="60"/>
      <c r="AA315" s="57"/>
      <c r="AB315" s="57"/>
      <c r="AC315" s="57"/>
      <c r="AD315" s="57"/>
      <c r="AE315" s="61"/>
    </row>
    <row r="316" spans="1:31" s="100" customFormat="1" ht="37.5">
      <c r="A316" s="235">
        <f>A314+1</f>
        <v>152</v>
      </c>
      <c r="B316" s="237" t="s">
        <v>260</v>
      </c>
      <c r="C316" s="44" t="s">
        <v>68</v>
      </c>
      <c r="D316" s="187" t="s">
        <v>5</v>
      </c>
      <c r="E316" s="187" t="s">
        <v>5</v>
      </c>
      <c r="F316" s="192">
        <f>440/1000</f>
        <v>0.44</v>
      </c>
      <c r="G316" s="7" t="s">
        <v>76</v>
      </c>
      <c r="H316" s="11">
        <f t="shared" si="6"/>
        <v>1500</v>
      </c>
      <c r="I316" s="11"/>
      <c r="J316" s="11"/>
      <c r="K316" s="11"/>
      <c r="L316" s="11"/>
      <c r="M316" s="11"/>
      <c r="N316" s="11"/>
      <c r="O316" s="25"/>
      <c r="P316" s="25"/>
      <c r="Q316" s="25">
        <v>1500</v>
      </c>
      <c r="R316" s="25"/>
      <c r="S316" s="72"/>
      <c r="T316" s="111">
        <f t="shared" si="8"/>
        <v>0</v>
      </c>
      <c r="U316" s="11"/>
      <c r="V316" s="11"/>
      <c r="W316" s="11"/>
      <c r="X316" s="11"/>
      <c r="Y316" s="11"/>
      <c r="Z316" s="74"/>
      <c r="AA316" s="70"/>
      <c r="AB316" s="70"/>
      <c r="AC316" s="70"/>
      <c r="AD316" s="70"/>
      <c r="AE316" s="75"/>
    </row>
    <row r="317" spans="1:31" ht="38.25" thickBot="1">
      <c r="A317" s="236"/>
      <c r="B317" s="238"/>
      <c r="C317" s="18" t="s">
        <v>8</v>
      </c>
      <c r="D317" s="188"/>
      <c r="E317" s="188"/>
      <c r="F317" s="194"/>
      <c r="G317" s="18" t="s">
        <v>164</v>
      </c>
      <c r="H317" s="5">
        <f t="shared" si="6"/>
        <v>15000</v>
      </c>
      <c r="I317" s="5"/>
      <c r="J317" s="5"/>
      <c r="K317" s="5"/>
      <c r="L317" s="5"/>
      <c r="M317" s="5"/>
      <c r="N317" s="5"/>
      <c r="O317" s="17"/>
      <c r="P317" s="17"/>
      <c r="Q317" s="17"/>
      <c r="R317" s="17">
        <v>15000</v>
      </c>
      <c r="S317" s="58"/>
      <c r="T317" s="59">
        <f t="shared" si="8"/>
        <v>0</v>
      </c>
      <c r="U317" s="5"/>
      <c r="V317" s="5"/>
      <c r="W317" s="5"/>
      <c r="X317" s="5"/>
      <c r="Y317" s="5"/>
      <c r="Z317" s="60"/>
      <c r="AA317" s="57"/>
      <c r="AB317" s="57"/>
      <c r="AC317" s="57"/>
      <c r="AD317" s="57"/>
      <c r="AE317" s="61"/>
    </row>
    <row r="318" spans="1:31" s="100" customFormat="1" ht="37.5">
      <c r="A318" s="235">
        <f>A316+1</f>
        <v>153</v>
      </c>
      <c r="B318" s="237" t="s">
        <v>261</v>
      </c>
      <c r="C318" s="44" t="s">
        <v>68</v>
      </c>
      <c r="D318" s="187" t="s">
        <v>5</v>
      </c>
      <c r="E318" s="187" t="s">
        <v>5</v>
      </c>
      <c r="F318" s="192">
        <f>1000/1000</f>
        <v>1</v>
      </c>
      <c r="G318" s="7" t="s">
        <v>76</v>
      </c>
      <c r="H318" s="11">
        <f t="shared" si="6"/>
        <v>3943.8</v>
      </c>
      <c r="I318" s="11"/>
      <c r="J318" s="11"/>
      <c r="K318" s="11"/>
      <c r="L318" s="11"/>
      <c r="M318" s="11"/>
      <c r="N318" s="11"/>
      <c r="O318" s="25"/>
      <c r="P318" s="25"/>
      <c r="Q318" s="25">
        <v>3943.8</v>
      </c>
      <c r="R318" s="25"/>
      <c r="S318" s="72"/>
      <c r="T318" s="111">
        <f t="shared" si="8"/>
        <v>0</v>
      </c>
      <c r="U318" s="11"/>
      <c r="V318" s="11"/>
      <c r="W318" s="11"/>
      <c r="X318" s="11"/>
      <c r="Y318" s="11"/>
      <c r="Z318" s="74"/>
      <c r="AA318" s="70"/>
      <c r="AB318" s="70"/>
      <c r="AC318" s="70"/>
      <c r="AD318" s="70"/>
      <c r="AE318" s="75"/>
    </row>
    <row r="319" spans="1:31" ht="38.25" thickBot="1">
      <c r="A319" s="236"/>
      <c r="B319" s="238"/>
      <c r="C319" s="18" t="s">
        <v>8</v>
      </c>
      <c r="D319" s="188"/>
      <c r="E319" s="188"/>
      <c r="F319" s="194"/>
      <c r="G319" s="18" t="s">
        <v>175</v>
      </c>
      <c r="H319" s="5">
        <f t="shared" si="6"/>
        <v>82188.8</v>
      </c>
      <c r="I319" s="5"/>
      <c r="J319" s="5"/>
      <c r="K319" s="5"/>
      <c r="L319" s="5"/>
      <c r="M319" s="5"/>
      <c r="N319" s="5"/>
      <c r="O319" s="17"/>
      <c r="P319" s="17"/>
      <c r="Q319" s="17"/>
      <c r="R319" s="17">
        <v>41094.4</v>
      </c>
      <c r="S319" s="58">
        <v>41094.4</v>
      </c>
      <c r="T319" s="59">
        <f t="shared" si="8"/>
        <v>0</v>
      </c>
      <c r="U319" s="5"/>
      <c r="V319" s="5"/>
      <c r="W319" s="5"/>
      <c r="X319" s="5"/>
      <c r="Y319" s="5"/>
      <c r="Z319" s="60"/>
      <c r="AA319" s="57"/>
      <c r="AB319" s="57"/>
      <c r="AC319" s="57"/>
      <c r="AD319" s="57"/>
      <c r="AE319" s="61"/>
    </row>
    <row r="320" spans="1:31" s="100" customFormat="1" ht="37.5">
      <c r="A320" s="235">
        <f>A318+1</f>
        <v>154</v>
      </c>
      <c r="B320" s="237" t="s">
        <v>262</v>
      </c>
      <c r="C320" s="44" t="s">
        <v>68</v>
      </c>
      <c r="D320" s="187" t="s">
        <v>5</v>
      </c>
      <c r="E320" s="187" t="s">
        <v>5</v>
      </c>
      <c r="F320" s="192">
        <f>1160/1000</f>
        <v>1.16</v>
      </c>
      <c r="G320" s="7" t="s">
        <v>337</v>
      </c>
      <c r="H320" s="11">
        <f t="shared" si="6"/>
        <v>400</v>
      </c>
      <c r="I320" s="11"/>
      <c r="J320" s="11"/>
      <c r="K320" s="11"/>
      <c r="L320" s="11"/>
      <c r="M320" s="11"/>
      <c r="N320" s="11"/>
      <c r="O320" s="25"/>
      <c r="P320" s="25"/>
      <c r="Q320" s="25">
        <v>400</v>
      </c>
      <c r="R320" s="25"/>
      <c r="S320" s="72"/>
      <c r="T320" s="111">
        <f t="shared" si="8"/>
        <v>0</v>
      </c>
      <c r="U320" s="11"/>
      <c r="V320" s="11"/>
      <c r="W320" s="11"/>
      <c r="X320" s="11"/>
      <c r="Y320" s="11"/>
      <c r="Z320" s="74"/>
      <c r="AA320" s="70"/>
      <c r="AB320" s="70"/>
      <c r="AC320" s="70"/>
      <c r="AD320" s="70"/>
      <c r="AE320" s="75"/>
    </row>
    <row r="321" spans="1:31" ht="38.25" thickBot="1">
      <c r="A321" s="236"/>
      <c r="B321" s="238"/>
      <c r="C321" s="18" t="s">
        <v>8</v>
      </c>
      <c r="D321" s="188"/>
      <c r="E321" s="188"/>
      <c r="F321" s="194"/>
      <c r="G321" s="18" t="s">
        <v>164</v>
      </c>
      <c r="H321" s="5">
        <f t="shared" si="6"/>
        <v>3600</v>
      </c>
      <c r="I321" s="5"/>
      <c r="J321" s="5"/>
      <c r="K321" s="5"/>
      <c r="L321" s="5"/>
      <c r="M321" s="5"/>
      <c r="N321" s="5"/>
      <c r="O321" s="17"/>
      <c r="P321" s="17"/>
      <c r="Q321" s="17"/>
      <c r="R321" s="17">
        <v>3600</v>
      </c>
      <c r="S321" s="58"/>
      <c r="T321" s="59">
        <f t="shared" si="8"/>
        <v>0</v>
      </c>
      <c r="U321" s="5"/>
      <c r="V321" s="5"/>
      <c r="W321" s="5"/>
      <c r="X321" s="5"/>
      <c r="Y321" s="5"/>
      <c r="Z321" s="60"/>
      <c r="AA321" s="57"/>
      <c r="AB321" s="57"/>
      <c r="AC321" s="57"/>
      <c r="AD321" s="57"/>
      <c r="AE321" s="61"/>
    </row>
    <row r="322" spans="1:31" s="100" customFormat="1" ht="37.5">
      <c r="A322" s="235">
        <f>A320+1</f>
        <v>155</v>
      </c>
      <c r="B322" s="237" t="s">
        <v>263</v>
      </c>
      <c r="C322" s="44" t="s">
        <v>68</v>
      </c>
      <c r="D322" s="187" t="s">
        <v>5</v>
      </c>
      <c r="E322" s="187" t="s">
        <v>5</v>
      </c>
      <c r="F322" s="192">
        <f>1000/1000</f>
        <v>1</v>
      </c>
      <c r="G322" s="7" t="s">
        <v>339</v>
      </c>
      <c r="H322" s="11">
        <f t="shared" si="6"/>
        <v>6000</v>
      </c>
      <c r="I322" s="11"/>
      <c r="J322" s="11"/>
      <c r="K322" s="11"/>
      <c r="L322" s="11"/>
      <c r="M322" s="11"/>
      <c r="N322" s="11"/>
      <c r="O322" s="25"/>
      <c r="P322" s="25"/>
      <c r="Q322" s="25">
        <v>6000</v>
      </c>
      <c r="R322" s="25"/>
      <c r="S322" s="72"/>
      <c r="T322" s="111">
        <f t="shared" si="8"/>
        <v>0</v>
      </c>
      <c r="U322" s="11"/>
      <c r="V322" s="11"/>
      <c r="W322" s="11"/>
      <c r="X322" s="11"/>
      <c r="Y322" s="11"/>
      <c r="Z322" s="74"/>
      <c r="AA322" s="70"/>
      <c r="AB322" s="70"/>
      <c r="AC322" s="70"/>
      <c r="AD322" s="70"/>
      <c r="AE322" s="75"/>
    </row>
    <row r="323" spans="1:31" ht="38.25" thickBot="1">
      <c r="A323" s="236"/>
      <c r="B323" s="238"/>
      <c r="C323" s="18" t="s">
        <v>8</v>
      </c>
      <c r="D323" s="188"/>
      <c r="E323" s="188"/>
      <c r="F323" s="194"/>
      <c r="G323" s="18" t="s">
        <v>164</v>
      </c>
      <c r="H323" s="5">
        <f t="shared" si="6"/>
        <v>54000</v>
      </c>
      <c r="I323" s="5"/>
      <c r="J323" s="5"/>
      <c r="K323" s="5"/>
      <c r="L323" s="5"/>
      <c r="M323" s="5"/>
      <c r="N323" s="5"/>
      <c r="O323" s="17"/>
      <c r="P323" s="17"/>
      <c r="Q323" s="17"/>
      <c r="R323" s="17">
        <v>54000</v>
      </c>
      <c r="S323" s="58"/>
      <c r="T323" s="59">
        <f t="shared" si="8"/>
        <v>0</v>
      </c>
      <c r="U323" s="5"/>
      <c r="V323" s="5"/>
      <c r="W323" s="5"/>
      <c r="X323" s="5"/>
      <c r="Y323" s="5"/>
      <c r="Z323" s="60"/>
      <c r="AA323" s="57"/>
      <c r="AB323" s="57"/>
      <c r="AC323" s="57"/>
      <c r="AD323" s="57"/>
      <c r="AE323" s="61"/>
    </row>
    <row r="324" spans="1:31" s="100" customFormat="1" ht="37.5">
      <c r="A324" s="235">
        <f>A322+1</f>
        <v>156</v>
      </c>
      <c r="B324" s="237" t="s">
        <v>264</v>
      </c>
      <c r="C324" s="44" t="s">
        <v>68</v>
      </c>
      <c r="D324" s="187" t="s">
        <v>5</v>
      </c>
      <c r="E324" s="187" t="s">
        <v>5</v>
      </c>
      <c r="F324" s="192">
        <f>4000/1000</f>
        <v>4</v>
      </c>
      <c r="G324" s="7" t="s">
        <v>76</v>
      </c>
      <c r="H324" s="11">
        <f t="shared" si="6"/>
        <v>6000</v>
      </c>
      <c r="I324" s="11"/>
      <c r="J324" s="11"/>
      <c r="K324" s="11"/>
      <c r="L324" s="11"/>
      <c r="M324" s="11"/>
      <c r="N324" s="11"/>
      <c r="O324" s="25"/>
      <c r="P324" s="25"/>
      <c r="Q324" s="25">
        <v>6000</v>
      </c>
      <c r="R324" s="25"/>
      <c r="S324" s="72"/>
      <c r="T324" s="111">
        <f t="shared" si="8"/>
        <v>0</v>
      </c>
      <c r="U324" s="11"/>
      <c r="V324" s="11"/>
      <c r="W324" s="11"/>
      <c r="X324" s="11"/>
      <c r="Y324" s="11"/>
      <c r="Z324" s="74"/>
      <c r="AA324" s="70"/>
      <c r="AB324" s="70"/>
      <c r="AC324" s="70"/>
      <c r="AD324" s="70"/>
      <c r="AE324" s="75"/>
    </row>
    <row r="325" spans="1:31" ht="38.25" thickBot="1">
      <c r="A325" s="236"/>
      <c r="B325" s="238"/>
      <c r="C325" s="18" t="s">
        <v>8</v>
      </c>
      <c r="D325" s="188"/>
      <c r="E325" s="188"/>
      <c r="F325" s="194"/>
      <c r="G325" s="18" t="s">
        <v>164</v>
      </c>
      <c r="H325" s="5">
        <f t="shared" si="6"/>
        <v>49000</v>
      </c>
      <c r="I325" s="5"/>
      <c r="J325" s="5"/>
      <c r="K325" s="5"/>
      <c r="L325" s="5"/>
      <c r="M325" s="5"/>
      <c r="N325" s="5"/>
      <c r="O325" s="17"/>
      <c r="P325" s="17"/>
      <c r="Q325" s="17"/>
      <c r="R325" s="17">
        <v>49000</v>
      </c>
      <c r="S325" s="58"/>
      <c r="T325" s="59">
        <f t="shared" si="8"/>
        <v>0</v>
      </c>
      <c r="U325" s="5"/>
      <c r="V325" s="5"/>
      <c r="W325" s="5"/>
      <c r="X325" s="5"/>
      <c r="Y325" s="5"/>
      <c r="Z325" s="60"/>
      <c r="AA325" s="57"/>
      <c r="AB325" s="57"/>
      <c r="AC325" s="57"/>
      <c r="AD325" s="57"/>
      <c r="AE325" s="61"/>
    </row>
    <row r="326" spans="1:31" s="100" customFormat="1" ht="37.5">
      <c r="A326" s="235">
        <f>A324+1</f>
        <v>157</v>
      </c>
      <c r="B326" s="237" t="s">
        <v>265</v>
      </c>
      <c r="C326" s="44" t="s">
        <v>68</v>
      </c>
      <c r="D326" s="187" t="s">
        <v>5</v>
      </c>
      <c r="E326" s="187" t="s">
        <v>5</v>
      </c>
      <c r="F326" s="192">
        <f>3300/1000</f>
        <v>3.3</v>
      </c>
      <c r="G326" s="7" t="s">
        <v>76</v>
      </c>
      <c r="H326" s="11">
        <f t="shared" si="6"/>
        <v>7819.3</v>
      </c>
      <c r="I326" s="11"/>
      <c r="J326" s="11"/>
      <c r="K326" s="11"/>
      <c r="L326" s="11"/>
      <c r="M326" s="11"/>
      <c r="N326" s="11"/>
      <c r="O326" s="25"/>
      <c r="P326" s="25"/>
      <c r="Q326" s="25">
        <v>7819.3</v>
      </c>
      <c r="R326" s="25"/>
      <c r="S326" s="72"/>
      <c r="T326" s="111">
        <f t="shared" si="8"/>
        <v>0</v>
      </c>
      <c r="U326" s="11"/>
      <c r="V326" s="11"/>
      <c r="W326" s="11"/>
      <c r="X326" s="11"/>
      <c r="Y326" s="11"/>
      <c r="Z326" s="74"/>
      <c r="AA326" s="70"/>
      <c r="AB326" s="70"/>
      <c r="AC326" s="70"/>
      <c r="AD326" s="70"/>
      <c r="AE326" s="75"/>
    </row>
    <row r="327" spans="1:31" ht="38.25" thickBot="1">
      <c r="A327" s="236"/>
      <c r="B327" s="238"/>
      <c r="C327" s="18" t="s">
        <v>8</v>
      </c>
      <c r="D327" s="188"/>
      <c r="E327" s="188"/>
      <c r="F327" s="194"/>
      <c r="G327" s="18" t="s">
        <v>164</v>
      </c>
      <c r="H327" s="5">
        <f t="shared" si="6"/>
        <v>80000</v>
      </c>
      <c r="I327" s="5"/>
      <c r="J327" s="5"/>
      <c r="K327" s="5"/>
      <c r="L327" s="5"/>
      <c r="M327" s="5"/>
      <c r="N327" s="5"/>
      <c r="O327" s="17"/>
      <c r="P327" s="17"/>
      <c r="Q327" s="17"/>
      <c r="R327" s="17">
        <v>80000</v>
      </c>
      <c r="S327" s="58"/>
      <c r="T327" s="59">
        <f t="shared" si="8"/>
        <v>0</v>
      </c>
      <c r="U327" s="5"/>
      <c r="V327" s="5"/>
      <c r="W327" s="5"/>
      <c r="X327" s="5"/>
      <c r="Y327" s="5"/>
      <c r="Z327" s="60"/>
      <c r="AA327" s="57"/>
      <c r="AB327" s="57"/>
      <c r="AC327" s="57"/>
      <c r="AD327" s="57"/>
      <c r="AE327" s="61"/>
    </row>
    <row r="328" spans="1:31" s="100" customFormat="1" ht="37.5">
      <c r="A328" s="235">
        <f>A326+1</f>
        <v>158</v>
      </c>
      <c r="B328" s="237" t="s">
        <v>266</v>
      </c>
      <c r="C328" s="44" t="s">
        <v>68</v>
      </c>
      <c r="D328" s="187" t="s">
        <v>5</v>
      </c>
      <c r="E328" s="187" t="s">
        <v>5</v>
      </c>
      <c r="F328" s="192">
        <f>300/1000</f>
        <v>0.3</v>
      </c>
      <c r="G328" s="7" t="s">
        <v>76</v>
      </c>
      <c r="H328" s="11">
        <f t="shared" si="6"/>
        <v>850</v>
      </c>
      <c r="I328" s="11"/>
      <c r="J328" s="11"/>
      <c r="K328" s="11"/>
      <c r="L328" s="11"/>
      <c r="M328" s="11"/>
      <c r="N328" s="11"/>
      <c r="O328" s="25"/>
      <c r="P328" s="25"/>
      <c r="Q328" s="25">
        <v>850</v>
      </c>
      <c r="R328" s="25"/>
      <c r="S328" s="72"/>
      <c r="T328" s="111">
        <f t="shared" si="8"/>
        <v>0</v>
      </c>
      <c r="U328" s="11"/>
      <c r="V328" s="11"/>
      <c r="W328" s="11"/>
      <c r="X328" s="11"/>
      <c r="Y328" s="11"/>
      <c r="Z328" s="74"/>
      <c r="AA328" s="70"/>
      <c r="AB328" s="70"/>
      <c r="AC328" s="70"/>
      <c r="AD328" s="70"/>
      <c r="AE328" s="75"/>
    </row>
    <row r="329" spans="1:31" ht="38.25" thickBot="1">
      <c r="A329" s="236"/>
      <c r="B329" s="238"/>
      <c r="C329" s="18" t="s">
        <v>8</v>
      </c>
      <c r="D329" s="188"/>
      <c r="E329" s="188"/>
      <c r="F329" s="194"/>
      <c r="G329" s="18" t="s">
        <v>164</v>
      </c>
      <c r="H329" s="5">
        <f t="shared" si="6"/>
        <v>7650</v>
      </c>
      <c r="I329" s="5"/>
      <c r="J329" s="5"/>
      <c r="K329" s="5"/>
      <c r="L329" s="5"/>
      <c r="M329" s="5"/>
      <c r="N329" s="5"/>
      <c r="O329" s="17"/>
      <c r="P329" s="17"/>
      <c r="Q329" s="17"/>
      <c r="R329" s="17">
        <v>7650</v>
      </c>
      <c r="S329" s="58"/>
      <c r="T329" s="59">
        <f t="shared" si="8"/>
        <v>0</v>
      </c>
      <c r="U329" s="5"/>
      <c r="V329" s="5"/>
      <c r="W329" s="5"/>
      <c r="X329" s="5"/>
      <c r="Y329" s="5"/>
      <c r="Z329" s="60"/>
      <c r="AA329" s="57"/>
      <c r="AB329" s="57"/>
      <c r="AC329" s="57"/>
      <c r="AD329" s="57"/>
      <c r="AE329" s="61"/>
    </row>
    <row r="330" spans="1:31" s="100" customFormat="1" ht="37.5">
      <c r="A330" s="235">
        <f>A328+1</f>
        <v>159</v>
      </c>
      <c r="B330" s="237" t="s">
        <v>267</v>
      </c>
      <c r="C330" s="44" t="s">
        <v>68</v>
      </c>
      <c r="D330" s="187" t="s">
        <v>5</v>
      </c>
      <c r="E330" s="187" t="s">
        <v>5</v>
      </c>
      <c r="F330" s="192">
        <f>1000/1000</f>
        <v>1</v>
      </c>
      <c r="G330" s="7" t="s">
        <v>76</v>
      </c>
      <c r="H330" s="11">
        <f t="shared" si="6"/>
        <v>6000</v>
      </c>
      <c r="I330" s="11"/>
      <c r="J330" s="11"/>
      <c r="K330" s="11"/>
      <c r="L330" s="11"/>
      <c r="M330" s="11"/>
      <c r="N330" s="11"/>
      <c r="O330" s="25"/>
      <c r="P330" s="25"/>
      <c r="Q330" s="25">
        <v>6000</v>
      </c>
      <c r="R330" s="25"/>
      <c r="S330" s="72"/>
      <c r="T330" s="111">
        <f t="shared" si="8"/>
        <v>0</v>
      </c>
      <c r="U330" s="11"/>
      <c r="V330" s="11"/>
      <c r="W330" s="11"/>
      <c r="X330" s="11"/>
      <c r="Y330" s="11"/>
      <c r="Z330" s="74"/>
      <c r="AA330" s="70"/>
      <c r="AB330" s="70"/>
      <c r="AC330" s="70"/>
      <c r="AD330" s="70"/>
      <c r="AE330" s="75"/>
    </row>
    <row r="331" spans="1:31" ht="38.25" thickBot="1">
      <c r="A331" s="236"/>
      <c r="B331" s="238"/>
      <c r="C331" s="18" t="s">
        <v>8</v>
      </c>
      <c r="D331" s="188"/>
      <c r="E331" s="188"/>
      <c r="F331" s="194"/>
      <c r="G331" s="18" t="s">
        <v>164</v>
      </c>
      <c r="H331" s="5">
        <f t="shared" si="6"/>
        <v>54000</v>
      </c>
      <c r="I331" s="5"/>
      <c r="J331" s="5"/>
      <c r="K331" s="5"/>
      <c r="L331" s="5"/>
      <c r="M331" s="5"/>
      <c r="N331" s="5"/>
      <c r="O331" s="17"/>
      <c r="P331" s="17"/>
      <c r="Q331" s="17"/>
      <c r="R331" s="17">
        <v>54000</v>
      </c>
      <c r="S331" s="58"/>
      <c r="T331" s="59">
        <f t="shared" si="8"/>
        <v>0</v>
      </c>
      <c r="U331" s="5"/>
      <c r="V331" s="5"/>
      <c r="W331" s="5"/>
      <c r="X331" s="5"/>
      <c r="Y331" s="5"/>
      <c r="Z331" s="60"/>
      <c r="AA331" s="57"/>
      <c r="AB331" s="57"/>
      <c r="AC331" s="57"/>
      <c r="AD331" s="57"/>
      <c r="AE331" s="61"/>
    </row>
    <row r="332" spans="1:31" s="100" customFormat="1" ht="37.5">
      <c r="A332" s="235">
        <f>A330+1</f>
        <v>160</v>
      </c>
      <c r="B332" s="237" t="s">
        <v>268</v>
      </c>
      <c r="C332" s="44" t="s">
        <v>68</v>
      </c>
      <c r="D332" s="187" t="s">
        <v>5</v>
      </c>
      <c r="E332" s="187" t="s">
        <v>5</v>
      </c>
      <c r="F332" s="192">
        <f>2100/1000</f>
        <v>2.1</v>
      </c>
      <c r="G332" s="7" t="s">
        <v>76</v>
      </c>
      <c r="H332" s="11">
        <f t="shared" si="6"/>
        <v>5200</v>
      </c>
      <c r="I332" s="11"/>
      <c r="J332" s="11"/>
      <c r="K332" s="11"/>
      <c r="L332" s="11"/>
      <c r="M332" s="11"/>
      <c r="N332" s="11"/>
      <c r="O332" s="25"/>
      <c r="P332" s="25"/>
      <c r="Q332" s="25">
        <v>5200</v>
      </c>
      <c r="R332" s="25"/>
      <c r="S332" s="72"/>
      <c r="T332" s="111">
        <f t="shared" si="8"/>
        <v>0</v>
      </c>
      <c r="U332" s="11"/>
      <c r="V332" s="11"/>
      <c r="W332" s="11"/>
      <c r="X332" s="11"/>
      <c r="Y332" s="11"/>
      <c r="Z332" s="74"/>
      <c r="AA332" s="70"/>
      <c r="AB332" s="70"/>
      <c r="AC332" s="70"/>
      <c r="AD332" s="70"/>
      <c r="AE332" s="75"/>
    </row>
    <row r="333" spans="1:31" ht="38.25" thickBot="1">
      <c r="A333" s="236"/>
      <c r="B333" s="238"/>
      <c r="C333" s="18" t="s">
        <v>8</v>
      </c>
      <c r="D333" s="188"/>
      <c r="E333" s="188"/>
      <c r="F333" s="194"/>
      <c r="G333" s="18" t="s">
        <v>164</v>
      </c>
      <c r="H333" s="5">
        <f t="shared" si="6"/>
        <v>46800</v>
      </c>
      <c r="I333" s="5"/>
      <c r="J333" s="5"/>
      <c r="K333" s="5"/>
      <c r="L333" s="5"/>
      <c r="M333" s="5"/>
      <c r="N333" s="5"/>
      <c r="O333" s="17"/>
      <c r="P333" s="17"/>
      <c r="Q333" s="17"/>
      <c r="R333" s="17">
        <v>46800</v>
      </c>
      <c r="S333" s="58"/>
      <c r="T333" s="59">
        <f t="shared" si="8"/>
        <v>0</v>
      </c>
      <c r="U333" s="5"/>
      <c r="V333" s="5"/>
      <c r="W333" s="5"/>
      <c r="X333" s="5"/>
      <c r="Y333" s="5"/>
      <c r="Z333" s="60"/>
      <c r="AA333" s="57"/>
      <c r="AB333" s="57"/>
      <c r="AC333" s="57"/>
      <c r="AD333" s="57"/>
      <c r="AE333" s="61"/>
    </row>
    <row r="334" spans="1:31" s="100" customFormat="1" ht="37.5">
      <c r="A334" s="235">
        <f>A332+1</f>
        <v>161</v>
      </c>
      <c r="B334" s="237" t="s">
        <v>269</v>
      </c>
      <c r="C334" s="44" t="s">
        <v>68</v>
      </c>
      <c r="D334" s="187" t="s">
        <v>5</v>
      </c>
      <c r="E334" s="187" t="s">
        <v>5</v>
      </c>
      <c r="F334" s="192">
        <f>12500/1000</f>
        <v>12.5</v>
      </c>
      <c r="G334" s="7" t="s">
        <v>76</v>
      </c>
      <c r="H334" s="11">
        <f t="shared" si="6"/>
        <v>19000</v>
      </c>
      <c r="I334" s="11"/>
      <c r="J334" s="11"/>
      <c r="K334" s="11"/>
      <c r="L334" s="11"/>
      <c r="M334" s="11"/>
      <c r="N334" s="11"/>
      <c r="O334" s="25"/>
      <c r="P334" s="25"/>
      <c r="Q334" s="25">
        <v>19000</v>
      </c>
      <c r="R334" s="25"/>
      <c r="S334" s="72"/>
      <c r="T334" s="111">
        <f t="shared" si="8"/>
        <v>0</v>
      </c>
      <c r="U334" s="11"/>
      <c r="V334" s="11"/>
      <c r="W334" s="11"/>
      <c r="X334" s="11"/>
      <c r="Y334" s="11"/>
      <c r="Z334" s="74"/>
      <c r="AA334" s="70"/>
      <c r="AB334" s="70"/>
      <c r="AC334" s="70"/>
      <c r="AD334" s="70"/>
      <c r="AE334" s="75"/>
    </row>
    <row r="335" spans="1:31" ht="38.25" thickBot="1">
      <c r="A335" s="236"/>
      <c r="B335" s="238"/>
      <c r="C335" s="18" t="s">
        <v>8</v>
      </c>
      <c r="D335" s="188"/>
      <c r="E335" s="188"/>
      <c r="F335" s="194"/>
      <c r="G335" s="18" t="s">
        <v>164</v>
      </c>
      <c r="H335" s="5">
        <f t="shared" si="6"/>
        <v>190000</v>
      </c>
      <c r="I335" s="5"/>
      <c r="J335" s="5"/>
      <c r="K335" s="5"/>
      <c r="L335" s="5"/>
      <c r="M335" s="5"/>
      <c r="N335" s="5"/>
      <c r="O335" s="17"/>
      <c r="P335" s="17"/>
      <c r="Q335" s="17"/>
      <c r="R335" s="17">
        <v>190000</v>
      </c>
      <c r="S335" s="58"/>
      <c r="T335" s="59">
        <f t="shared" si="8"/>
        <v>0</v>
      </c>
      <c r="U335" s="5"/>
      <c r="V335" s="5"/>
      <c r="W335" s="5"/>
      <c r="X335" s="5"/>
      <c r="Y335" s="5"/>
      <c r="Z335" s="60"/>
      <c r="AA335" s="57"/>
      <c r="AB335" s="57"/>
      <c r="AC335" s="57"/>
      <c r="AD335" s="57"/>
      <c r="AE335" s="61"/>
    </row>
    <row r="336" spans="1:31" s="100" customFormat="1" ht="37.5">
      <c r="A336" s="235">
        <f>A334+1</f>
        <v>162</v>
      </c>
      <c r="B336" s="237" t="s">
        <v>270</v>
      </c>
      <c r="C336" s="44" t="s">
        <v>68</v>
      </c>
      <c r="D336" s="187" t="s">
        <v>5</v>
      </c>
      <c r="E336" s="187" t="s">
        <v>5</v>
      </c>
      <c r="F336" s="192" t="s">
        <v>271</v>
      </c>
      <c r="G336" s="7" t="s">
        <v>76</v>
      </c>
      <c r="H336" s="11">
        <f t="shared" si="6"/>
        <v>6930</v>
      </c>
      <c r="I336" s="11"/>
      <c r="J336" s="11"/>
      <c r="K336" s="11"/>
      <c r="L336" s="11"/>
      <c r="M336" s="11"/>
      <c r="N336" s="11"/>
      <c r="O336" s="25"/>
      <c r="P336" s="25"/>
      <c r="Q336" s="25">
        <v>6930</v>
      </c>
      <c r="R336" s="25"/>
      <c r="S336" s="72"/>
      <c r="T336" s="111">
        <f t="shared" si="8"/>
        <v>0</v>
      </c>
      <c r="U336" s="11"/>
      <c r="V336" s="11"/>
      <c r="W336" s="11"/>
      <c r="X336" s="11"/>
      <c r="Y336" s="11"/>
      <c r="Z336" s="74"/>
      <c r="AA336" s="70"/>
      <c r="AB336" s="70"/>
      <c r="AC336" s="70"/>
      <c r="AD336" s="70"/>
      <c r="AE336" s="75"/>
    </row>
    <row r="337" spans="1:31" ht="38.25" thickBot="1">
      <c r="A337" s="236"/>
      <c r="B337" s="238"/>
      <c r="C337" s="18" t="s">
        <v>8</v>
      </c>
      <c r="D337" s="188"/>
      <c r="E337" s="188"/>
      <c r="F337" s="194"/>
      <c r="G337" s="18" t="s">
        <v>164</v>
      </c>
      <c r="H337" s="5">
        <f t="shared" si="6"/>
        <v>62370</v>
      </c>
      <c r="I337" s="5"/>
      <c r="J337" s="5"/>
      <c r="K337" s="5"/>
      <c r="L337" s="5"/>
      <c r="M337" s="5"/>
      <c r="N337" s="5"/>
      <c r="O337" s="17"/>
      <c r="P337" s="17"/>
      <c r="Q337" s="17"/>
      <c r="R337" s="17">
        <v>62370</v>
      </c>
      <c r="S337" s="58"/>
      <c r="T337" s="59">
        <f t="shared" si="8"/>
        <v>0</v>
      </c>
      <c r="U337" s="5"/>
      <c r="V337" s="5"/>
      <c r="W337" s="5"/>
      <c r="X337" s="5"/>
      <c r="Y337" s="5"/>
      <c r="Z337" s="60"/>
      <c r="AA337" s="57"/>
      <c r="AB337" s="57"/>
      <c r="AC337" s="57"/>
      <c r="AD337" s="57"/>
      <c r="AE337" s="61"/>
    </row>
    <row r="338" spans="1:31" s="100" customFormat="1" ht="37.5">
      <c r="A338" s="235">
        <f>A336+1</f>
        <v>163</v>
      </c>
      <c r="B338" s="237" t="s">
        <v>272</v>
      </c>
      <c r="C338" s="44" t="s">
        <v>68</v>
      </c>
      <c r="D338" s="187" t="s">
        <v>5</v>
      </c>
      <c r="E338" s="187" t="s">
        <v>5</v>
      </c>
      <c r="F338" s="192">
        <f>1000/1000</f>
        <v>1</v>
      </c>
      <c r="G338" s="7" t="s">
        <v>337</v>
      </c>
      <c r="H338" s="11">
        <f t="shared" si="6"/>
        <v>6000</v>
      </c>
      <c r="I338" s="11"/>
      <c r="J338" s="11"/>
      <c r="K338" s="11"/>
      <c r="L338" s="11"/>
      <c r="M338" s="11"/>
      <c r="N338" s="11"/>
      <c r="O338" s="25"/>
      <c r="P338" s="25"/>
      <c r="Q338" s="25">
        <v>6000</v>
      </c>
      <c r="R338" s="25"/>
      <c r="S338" s="72"/>
      <c r="T338" s="111">
        <f t="shared" si="8"/>
        <v>0</v>
      </c>
      <c r="U338" s="11"/>
      <c r="V338" s="11"/>
      <c r="W338" s="11"/>
      <c r="X338" s="11"/>
      <c r="Y338" s="11"/>
      <c r="Z338" s="74"/>
      <c r="AA338" s="70"/>
      <c r="AB338" s="70"/>
      <c r="AC338" s="70"/>
      <c r="AD338" s="70"/>
      <c r="AE338" s="75"/>
    </row>
    <row r="339" spans="1:31" ht="38.25" thickBot="1">
      <c r="A339" s="236"/>
      <c r="B339" s="238"/>
      <c r="C339" s="18" t="s">
        <v>8</v>
      </c>
      <c r="D339" s="188"/>
      <c r="E339" s="188"/>
      <c r="F339" s="194"/>
      <c r="G339" s="18" t="s">
        <v>164</v>
      </c>
      <c r="H339" s="5">
        <f t="shared" si="6"/>
        <v>54000</v>
      </c>
      <c r="I339" s="5"/>
      <c r="J339" s="5"/>
      <c r="K339" s="5"/>
      <c r="L339" s="5"/>
      <c r="M339" s="5"/>
      <c r="N339" s="5"/>
      <c r="O339" s="17"/>
      <c r="P339" s="17"/>
      <c r="Q339" s="17"/>
      <c r="R339" s="17">
        <v>54000</v>
      </c>
      <c r="S339" s="58"/>
      <c r="T339" s="59">
        <f t="shared" si="8"/>
        <v>0</v>
      </c>
      <c r="U339" s="5"/>
      <c r="V339" s="5"/>
      <c r="W339" s="5"/>
      <c r="X339" s="5"/>
      <c r="Y339" s="5"/>
      <c r="Z339" s="60"/>
      <c r="AA339" s="57"/>
      <c r="AB339" s="57"/>
      <c r="AC339" s="57"/>
      <c r="AD339" s="57"/>
      <c r="AE339" s="61"/>
    </row>
    <row r="340" spans="1:31" s="100" customFormat="1" ht="37.5">
      <c r="A340" s="235">
        <f>A338+1</f>
        <v>164</v>
      </c>
      <c r="B340" s="237" t="s">
        <v>273</v>
      </c>
      <c r="C340" s="44" t="s">
        <v>68</v>
      </c>
      <c r="D340" s="187" t="s">
        <v>5</v>
      </c>
      <c r="E340" s="187" t="s">
        <v>5</v>
      </c>
      <c r="F340" s="192">
        <f>250/1000</f>
        <v>0.25</v>
      </c>
      <c r="G340" s="7" t="s">
        <v>76</v>
      </c>
      <c r="H340" s="11">
        <f t="shared" si="6"/>
        <v>500</v>
      </c>
      <c r="I340" s="11"/>
      <c r="J340" s="11"/>
      <c r="K340" s="11"/>
      <c r="L340" s="11"/>
      <c r="M340" s="11"/>
      <c r="N340" s="11"/>
      <c r="O340" s="25"/>
      <c r="P340" s="25"/>
      <c r="Q340" s="25">
        <v>500</v>
      </c>
      <c r="R340" s="25"/>
      <c r="S340" s="72"/>
      <c r="T340" s="111">
        <f t="shared" si="8"/>
        <v>0</v>
      </c>
      <c r="U340" s="11"/>
      <c r="V340" s="11"/>
      <c r="W340" s="11"/>
      <c r="X340" s="11"/>
      <c r="Y340" s="11"/>
      <c r="Z340" s="74"/>
      <c r="AA340" s="70"/>
      <c r="AB340" s="70"/>
      <c r="AC340" s="70"/>
      <c r="AD340" s="70"/>
      <c r="AE340" s="75"/>
    </row>
    <row r="341" spans="1:31" ht="38.25" thickBot="1">
      <c r="A341" s="236"/>
      <c r="B341" s="238"/>
      <c r="C341" s="18" t="s">
        <v>8</v>
      </c>
      <c r="D341" s="188"/>
      <c r="E341" s="188"/>
      <c r="F341" s="194"/>
      <c r="G341" s="18" t="s">
        <v>164</v>
      </c>
      <c r="H341" s="5">
        <f t="shared" si="6"/>
        <v>4945.3</v>
      </c>
      <c r="I341" s="5"/>
      <c r="J341" s="5"/>
      <c r="K341" s="5"/>
      <c r="L341" s="5"/>
      <c r="M341" s="5"/>
      <c r="N341" s="5"/>
      <c r="O341" s="17"/>
      <c r="P341" s="17"/>
      <c r="Q341" s="17"/>
      <c r="R341" s="17">
        <v>4945.3</v>
      </c>
      <c r="S341" s="58"/>
      <c r="T341" s="59">
        <f t="shared" si="8"/>
        <v>0</v>
      </c>
      <c r="U341" s="5"/>
      <c r="V341" s="5"/>
      <c r="W341" s="5"/>
      <c r="X341" s="5"/>
      <c r="Y341" s="5"/>
      <c r="Z341" s="60"/>
      <c r="AA341" s="57"/>
      <c r="AB341" s="57"/>
      <c r="AC341" s="57"/>
      <c r="AD341" s="57"/>
      <c r="AE341" s="61"/>
    </row>
    <row r="342" spans="1:31" s="100" customFormat="1" ht="37.5">
      <c r="A342" s="235">
        <f>A340+1</f>
        <v>165</v>
      </c>
      <c r="B342" s="237" t="s">
        <v>274</v>
      </c>
      <c r="C342" s="44" t="s">
        <v>68</v>
      </c>
      <c r="D342" s="187" t="s">
        <v>5</v>
      </c>
      <c r="E342" s="187" t="s">
        <v>5</v>
      </c>
      <c r="F342" s="192">
        <f>2000/1000</f>
        <v>2</v>
      </c>
      <c r="G342" s="7" t="s">
        <v>76</v>
      </c>
      <c r="H342" s="11">
        <f t="shared" si="6"/>
        <v>600</v>
      </c>
      <c r="I342" s="11"/>
      <c r="J342" s="11"/>
      <c r="K342" s="11"/>
      <c r="L342" s="11"/>
      <c r="M342" s="11"/>
      <c r="N342" s="11"/>
      <c r="O342" s="25"/>
      <c r="P342" s="25"/>
      <c r="Q342" s="25">
        <v>600</v>
      </c>
      <c r="R342" s="25"/>
      <c r="S342" s="72"/>
      <c r="T342" s="111">
        <f t="shared" si="8"/>
        <v>0</v>
      </c>
      <c r="U342" s="11"/>
      <c r="V342" s="11"/>
      <c r="W342" s="11"/>
      <c r="X342" s="11"/>
      <c r="Y342" s="11"/>
      <c r="Z342" s="74"/>
      <c r="AA342" s="70"/>
      <c r="AB342" s="70"/>
      <c r="AC342" s="70"/>
      <c r="AD342" s="70"/>
      <c r="AE342" s="75"/>
    </row>
    <row r="343" spans="1:31" ht="38.25" thickBot="1">
      <c r="A343" s="236"/>
      <c r="B343" s="238"/>
      <c r="C343" s="18" t="s">
        <v>8</v>
      </c>
      <c r="D343" s="188"/>
      <c r="E343" s="188"/>
      <c r="F343" s="194"/>
      <c r="G343" s="18" t="s">
        <v>164</v>
      </c>
      <c r="H343" s="5">
        <f t="shared" si="6"/>
        <v>12000</v>
      </c>
      <c r="I343" s="5"/>
      <c r="J343" s="5"/>
      <c r="K343" s="5"/>
      <c r="L343" s="5"/>
      <c r="M343" s="5"/>
      <c r="N343" s="5"/>
      <c r="O343" s="17"/>
      <c r="P343" s="17"/>
      <c r="Q343" s="17"/>
      <c r="R343" s="17">
        <v>12000</v>
      </c>
      <c r="S343" s="58"/>
      <c r="T343" s="59">
        <f t="shared" si="8"/>
        <v>0</v>
      </c>
      <c r="U343" s="5"/>
      <c r="V343" s="5"/>
      <c r="W343" s="5"/>
      <c r="X343" s="5"/>
      <c r="Y343" s="5"/>
      <c r="Z343" s="60"/>
      <c r="AA343" s="57"/>
      <c r="AB343" s="57"/>
      <c r="AC343" s="57"/>
      <c r="AD343" s="57"/>
      <c r="AE343" s="61"/>
    </row>
    <row r="344" spans="1:31" s="100" customFormat="1" ht="37.5">
      <c r="A344" s="235">
        <f>A342+1</f>
        <v>166</v>
      </c>
      <c r="B344" s="237" t="s">
        <v>275</v>
      </c>
      <c r="C344" s="44" t="s">
        <v>68</v>
      </c>
      <c r="D344" s="187" t="s">
        <v>5</v>
      </c>
      <c r="E344" s="187" t="s">
        <v>5</v>
      </c>
      <c r="F344" s="192">
        <f>700/1000</f>
        <v>0.7</v>
      </c>
      <c r="G344" s="7" t="s">
        <v>340</v>
      </c>
      <c r="H344" s="11">
        <f t="shared" si="6"/>
        <v>970</v>
      </c>
      <c r="I344" s="11"/>
      <c r="J344" s="11"/>
      <c r="K344" s="11"/>
      <c r="L344" s="11"/>
      <c r="M344" s="11"/>
      <c r="N344" s="11"/>
      <c r="O344" s="25"/>
      <c r="P344" s="25"/>
      <c r="Q344" s="25">
        <v>970</v>
      </c>
      <c r="R344" s="25"/>
      <c r="S344" s="72"/>
      <c r="T344" s="111">
        <f t="shared" si="8"/>
        <v>0</v>
      </c>
      <c r="U344" s="11"/>
      <c r="V344" s="11"/>
      <c r="W344" s="11"/>
      <c r="X344" s="11"/>
      <c r="Y344" s="11"/>
      <c r="Z344" s="74"/>
      <c r="AA344" s="70"/>
      <c r="AB344" s="70"/>
      <c r="AC344" s="70"/>
      <c r="AD344" s="70"/>
      <c r="AE344" s="75"/>
    </row>
    <row r="345" spans="1:31" ht="38.25" thickBot="1">
      <c r="A345" s="236"/>
      <c r="B345" s="238"/>
      <c r="C345" s="18" t="s">
        <v>8</v>
      </c>
      <c r="D345" s="188"/>
      <c r="E345" s="188"/>
      <c r="F345" s="194"/>
      <c r="G345" s="18" t="s">
        <v>164</v>
      </c>
      <c r="H345" s="5">
        <f t="shared" si="6"/>
        <v>8698</v>
      </c>
      <c r="I345" s="5"/>
      <c r="J345" s="5"/>
      <c r="K345" s="5"/>
      <c r="L345" s="5"/>
      <c r="M345" s="5"/>
      <c r="N345" s="5"/>
      <c r="O345" s="17"/>
      <c r="P345" s="17"/>
      <c r="Q345" s="17"/>
      <c r="R345" s="17">
        <v>8698</v>
      </c>
      <c r="S345" s="58"/>
      <c r="T345" s="59">
        <f t="shared" si="8"/>
        <v>0</v>
      </c>
      <c r="U345" s="5"/>
      <c r="V345" s="5"/>
      <c r="W345" s="5"/>
      <c r="X345" s="5"/>
      <c r="Y345" s="5"/>
      <c r="Z345" s="60"/>
      <c r="AA345" s="57"/>
      <c r="AB345" s="57"/>
      <c r="AC345" s="57"/>
      <c r="AD345" s="57"/>
      <c r="AE345" s="61"/>
    </row>
    <row r="346" spans="1:31" s="100" customFormat="1" ht="37.5">
      <c r="A346" s="235">
        <f>A344+1</f>
        <v>167</v>
      </c>
      <c r="B346" s="237" t="s">
        <v>276</v>
      </c>
      <c r="C346" s="44" t="s">
        <v>68</v>
      </c>
      <c r="D346" s="187" t="s">
        <v>5</v>
      </c>
      <c r="E346" s="187" t="s">
        <v>5</v>
      </c>
      <c r="F346" s="192">
        <f>500/1000</f>
        <v>0.5</v>
      </c>
      <c r="G346" s="7" t="s">
        <v>76</v>
      </c>
      <c r="H346" s="11">
        <f t="shared" si="6"/>
        <v>4880</v>
      </c>
      <c r="I346" s="11"/>
      <c r="J346" s="11"/>
      <c r="K346" s="11"/>
      <c r="L346" s="11"/>
      <c r="M346" s="11"/>
      <c r="N346" s="11"/>
      <c r="O346" s="25"/>
      <c r="P346" s="25"/>
      <c r="Q346" s="25">
        <v>4880</v>
      </c>
      <c r="R346" s="25"/>
      <c r="S346" s="72"/>
      <c r="T346" s="111">
        <f t="shared" si="8"/>
        <v>0</v>
      </c>
      <c r="U346" s="11"/>
      <c r="V346" s="11"/>
      <c r="W346" s="11"/>
      <c r="X346" s="11"/>
      <c r="Y346" s="11"/>
      <c r="Z346" s="74"/>
      <c r="AA346" s="70"/>
      <c r="AB346" s="70"/>
      <c r="AC346" s="70"/>
      <c r="AD346" s="70"/>
      <c r="AE346" s="75"/>
    </row>
    <row r="347" spans="1:31" ht="38.25" thickBot="1">
      <c r="A347" s="236"/>
      <c r="B347" s="238"/>
      <c r="C347" s="18" t="s">
        <v>8</v>
      </c>
      <c r="D347" s="188"/>
      <c r="E347" s="188"/>
      <c r="F347" s="194"/>
      <c r="G347" s="18" t="s">
        <v>164</v>
      </c>
      <c r="H347" s="5">
        <f t="shared" si="6"/>
        <v>20000</v>
      </c>
      <c r="I347" s="5"/>
      <c r="J347" s="5"/>
      <c r="K347" s="5"/>
      <c r="L347" s="5"/>
      <c r="M347" s="5"/>
      <c r="N347" s="5"/>
      <c r="O347" s="17"/>
      <c r="P347" s="17"/>
      <c r="Q347" s="17"/>
      <c r="R347" s="17">
        <v>20000</v>
      </c>
      <c r="S347" s="58"/>
      <c r="T347" s="59">
        <f t="shared" si="8"/>
        <v>0</v>
      </c>
      <c r="U347" s="5"/>
      <c r="V347" s="5"/>
      <c r="W347" s="5"/>
      <c r="X347" s="5"/>
      <c r="Y347" s="5"/>
      <c r="Z347" s="60"/>
      <c r="AA347" s="57"/>
      <c r="AB347" s="57"/>
      <c r="AC347" s="57"/>
      <c r="AD347" s="57"/>
      <c r="AE347" s="61"/>
    </row>
    <row r="348" spans="1:31" s="100" customFormat="1" ht="37.5">
      <c r="A348" s="235">
        <f>A346+1</f>
        <v>168</v>
      </c>
      <c r="B348" s="237" t="s">
        <v>345</v>
      </c>
      <c r="C348" s="44" t="s">
        <v>68</v>
      </c>
      <c r="D348" s="187" t="s">
        <v>5</v>
      </c>
      <c r="E348" s="187" t="s">
        <v>5</v>
      </c>
      <c r="F348" s="192">
        <f>200/1000</f>
        <v>0.2</v>
      </c>
      <c r="G348" s="7" t="s">
        <v>76</v>
      </c>
      <c r="H348" s="11">
        <f t="shared" si="6"/>
        <v>1680.6</v>
      </c>
      <c r="I348" s="11"/>
      <c r="J348" s="11"/>
      <c r="K348" s="11"/>
      <c r="L348" s="11"/>
      <c r="M348" s="11"/>
      <c r="N348" s="11">
        <v>1680.6</v>
      </c>
      <c r="O348" s="25"/>
      <c r="P348" s="25">
        <v>0</v>
      </c>
      <c r="Q348" s="25"/>
      <c r="R348" s="25"/>
      <c r="S348" s="72"/>
      <c r="T348" s="111">
        <f t="shared" si="8"/>
        <v>1680.6</v>
      </c>
      <c r="U348" s="11"/>
      <c r="V348" s="11"/>
      <c r="W348" s="11"/>
      <c r="X348" s="11"/>
      <c r="Y348" s="11"/>
      <c r="Z348" s="11">
        <v>1680.6</v>
      </c>
      <c r="AA348" s="70"/>
      <c r="AB348" s="70"/>
      <c r="AC348" s="70"/>
      <c r="AD348" s="70"/>
      <c r="AE348" s="75"/>
    </row>
    <row r="349" spans="1:31" ht="38.25" thickBot="1">
      <c r="A349" s="236"/>
      <c r="B349" s="238"/>
      <c r="C349" s="18" t="s">
        <v>8</v>
      </c>
      <c r="D349" s="188"/>
      <c r="E349" s="188"/>
      <c r="F349" s="194"/>
      <c r="G349" s="18" t="s">
        <v>75</v>
      </c>
      <c r="H349" s="5">
        <f t="shared" si="6"/>
        <v>0</v>
      </c>
      <c r="I349" s="5"/>
      <c r="J349" s="5"/>
      <c r="K349" s="5"/>
      <c r="L349" s="5"/>
      <c r="M349" s="5"/>
      <c r="N349" s="5"/>
      <c r="O349" s="17"/>
      <c r="P349" s="17"/>
      <c r="Q349" s="17">
        <v>0</v>
      </c>
      <c r="R349" s="17"/>
      <c r="S349" s="58"/>
      <c r="T349" s="59">
        <f t="shared" si="8"/>
        <v>0</v>
      </c>
      <c r="U349" s="5"/>
      <c r="V349" s="5"/>
      <c r="W349" s="5"/>
      <c r="X349" s="5"/>
      <c r="Y349" s="5"/>
      <c r="Z349" s="60"/>
      <c r="AA349" s="57"/>
      <c r="AB349" s="57"/>
      <c r="AC349" s="57"/>
      <c r="AD349" s="57"/>
      <c r="AE349" s="61"/>
    </row>
    <row r="350" spans="1:31" ht="57" thickBot="1">
      <c r="A350" s="109">
        <v>169</v>
      </c>
      <c r="B350" s="108" t="s">
        <v>313</v>
      </c>
      <c r="C350" s="44" t="s">
        <v>68</v>
      </c>
      <c r="D350" s="64" t="s">
        <v>5</v>
      </c>
      <c r="E350" s="16" t="s">
        <v>5</v>
      </c>
      <c r="F350" s="17">
        <f>1500/1000</f>
        <v>1.5</v>
      </c>
      <c r="G350" s="18" t="s">
        <v>340</v>
      </c>
      <c r="H350" s="5">
        <f t="shared" si="6"/>
        <v>337.9</v>
      </c>
      <c r="I350" s="5"/>
      <c r="J350" s="5"/>
      <c r="K350" s="5"/>
      <c r="L350" s="5"/>
      <c r="M350" s="5"/>
      <c r="N350" s="5"/>
      <c r="O350" s="17"/>
      <c r="P350" s="17"/>
      <c r="Q350" s="17">
        <v>337.9</v>
      </c>
      <c r="R350" s="17"/>
      <c r="S350" s="58"/>
      <c r="T350" s="59">
        <f t="shared" si="8"/>
        <v>0</v>
      </c>
      <c r="U350" s="5"/>
      <c r="V350" s="5"/>
      <c r="W350" s="5"/>
      <c r="X350" s="5"/>
      <c r="Y350" s="5"/>
      <c r="Z350" s="60"/>
      <c r="AA350" s="57"/>
      <c r="AB350" s="57"/>
      <c r="AC350" s="57"/>
      <c r="AD350" s="57"/>
      <c r="AE350" s="61"/>
    </row>
    <row r="351" spans="1:31" s="100" customFormat="1" ht="37.5">
      <c r="A351" s="235">
        <v>170</v>
      </c>
      <c r="B351" s="237" t="s">
        <v>277</v>
      </c>
      <c r="C351" s="44" t="s">
        <v>68</v>
      </c>
      <c r="D351" s="187" t="s">
        <v>5</v>
      </c>
      <c r="E351" s="187" t="s">
        <v>5</v>
      </c>
      <c r="F351" s="192" t="s">
        <v>76</v>
      </c>
      <c r="G351" s="7" t="s">
        <v>76</v>
      </c>
      <c r="H351" s="11">
        <f t="shared" si="6"/>
        <v>1000</v>
      </c>
      <c r="I351" s="11"/>
      <c r="J351" s="11"/>
      <c r="K351" s="11"/>
      <c r="L351" s="11"/>
      <c r="M351" s="11"/>
      <c r="N351" s="11"/>
      <c r="O351" s="25"/>
      <c r="P351" s="25"/>
      <c r="Q351" s="25">
        <v>1000</v>
      </c>
      <c r="R351" s="25"/>
      <c r="S351" s="72"/>
      <c r="T351" s="111">
        <f t="shared" si="8"/>
        <v>0</v>
      </c>
      <c r="U351" s="11"/>
      <c r="V351" s="11"/>
      <c r="W351" s="11"/>
      <c r="X351" s="11"/>
      <c r="Y351" s="11"/>
      <c r="Z351" s="74"/>
      <c r="AA351" s="70"/>
      <c r="AB351" s="70"/>
      <c r="AC351" s="70"/>
      <c r="AD351" s="70"/>
      <c r="AE351" s="75"/>
    </row>
    <row r="352" spans="1:31" ht="38.25" thickBot="1">
      <c r="A352" s="236"/>
      <c r="B352" s="238"/>
      <c r="C352" s="18" t="s">
        <v>8</v>
      </c>
      <c r="D352" s="188"/>
      <c r="E352" s="188"/>
      <c r="F352" s="194"/>
      <c r="G352" s="18" t="s">
        <v>164</v>
      </c>
      <c r="H352" s="5">
        <f t="shared" si="6"/>
        <v>10000</v>
      </c>
      <c r="I352" s="5"/>
      <c r="J352" s="5"/>
      <c r="K352" s="5"/>
      <c r="L352" s="5"/>
      <c r="M352" s="5"/>
      <c r="N352" s="5"/>
      <c r="O352" s="17"/>
      <c r="P352" s="17"/>
      <c r="Q352" s="17"/>
      <c r="R352" s="17">
        <v>10000</v>
      </c>
      <c r="S352" s="58"/>
      <c r="T352" s="59">
        <f t="shared" si="8"/>
        <v>0</v>
      </c>
      <c r="U352" s="5"/>
      <c r="V352" s="5"/>
      <c r="W352" s="5"/>
      <c r="X352" s="5"/>
      <c r="Y352" s="5"/>
      <c r="Z352" s="60"/>
      <c r="AA352" s="57"/>
      <c r="AB352" s="57"/>
      <c r="AC352" s="57"/>
      <c r="AD352" s="57"/>
      <c r="AE352" s="61"/>
    </row>
    <row r="353" spans="1:31" s="100" customFormat="1" ht="37.5">
      <c r="A353" s="235">
        <v>171</v>
      </c>
      <c r="B353" s="237" t="s">
        <v>278</v>
      </c>
      <c r="C353" s="44" t="s">
        <v>68</v>
      </c>
      <c r="D353" s="187" t="s">
        <v>5</v>
      </c>
      <c r="E353" s="187" t="s">
        <v>5</v>
      </c>
      <c r="F353" s="192" t="s">
        <v>17</v>
      </c>
      <c r="G353" s="7" t="s">
        <v>337</v>
      </c>
      <c r="H353" s="11">
        <f t="shared" si="6"/>
        <v>345</v>
      </c>
      <c r="I353" s="11"/>
      <c r="J353" s="11"/>
      <c r="K353" s="11"/>
      <c r="L353" s="11"/>
      <c r="M353" s="11"/>
      <c r="N353" s="11"/>
      <c r="O353" s="25"/>
      <c r="P353" s="25"/>
      <c r="Q353" s="25">
        <v>345</v>
      </c>
      <c r="R353" s="25"/>
      <c r="S353" s="72"/>
      <c r="T353" s="111">
        <f t="shared" si="8"/>
        <v>0</v>
      </c>
      <c r="U353" s="11"/>
      <c r="V353" s="11"/>
      <c r="W353" s="11"/>
      <c r="X353" s="11"/>
      <c r="Y353" s="11"/>
      <c r="Z353" s="74"/>
      <c r="AA353" s="70"/>
      <c r="AB353" s="70"/>
      <c r="AC353" s="70"/>
      <c r="AD353" s="70"/>
      <c r="AE353" s="75"/>
    </row>
    <row r="354" spans="1:31" ht="38.25" thickBot="1">
      <c r="A354" s="236"/>
      <c r="B354" s="238"/>
      <c r="C354" s="18" t="s">
        <v>8</v>
      </c>
      <c r="D354" s="188"/>
      <c r="E354" s="188"/>
      <c r="F354" s="194"/>
      <c r="G354" s="18" t="s">
        <v>164</v>
      </c>
      <c r="H354" s="5">
        <f t="shared" si="6"/>
        <v>4948.8</v>
      </c>
      <c r="I354" s="5"/>
      <c r="J354" s="5"/>
      <c r="K354" s="5"/>
      <c r="L354" s="5"/>
      <c r="M354" s="5"/>
      <c r="N354" s="5"/>
      <c r="O354" s="17"/>
      <c r="P354" s="17"/>
      <c r="Q354" s="17"/>
      <c r="R354" s="17">
        <v>4948.8</v>
      </c>
      <c r="S354" s="58"/>
      <c r="T354" s="59">
        <f t="shared" si="8"/>
        <v>0</v>
      </c>
      <c r="U354" s="5"/>
      <c r="V354" s="5"/>
      <c r="W354" s="5"/>
      <c r="X354" s="5"/>
      <c r="Y354" s="5"/>
      <c r="Z354" s="60"/>
      <c r="AA354" s="57"/>
      <c r="AB354" s="57"/>
      <c r="AC354" s="57"/>
      <c r="AD354" s="57"/>
      <c r="AE354" s="61"/>
    </row>
    <row r="355" spans="1:31" s="100" customFormat="1" ht="37.5">
      <c r="A355" s="235">
        <f>A353+1</f>
        <v>172</v>
      </c>
      <c r="B355" s="237" t="s">
        <v>279</v>
      </c>
      <c r="C355" s="44" t="s">
        <v>68</v>
      </c>
      <c r="D355" s="187" t="s">
        <v>5</v>
      </c>
      <c r="E355" s="187" t="s">
        <v>5</v>
      </c>
      <c r="F355" s="192" t="s">
        <v>17</v>
      </c>
      <c r="G355" s="7" t="s">
        <v>76</v>
      </c>
      <c r="H355" s="11">
        <f t="shared" si="6"/>
        <v>617.5</v>
      </c>
      <c r="I355" s="11"/>
      <c r="J355" s="11"/>
      <c r="K355" s="11"/>
      <c r="L355" s="11"/>
      <c r="M355" s="11"/>
      <c r="N355" s="11"/>
      <c r="O355" s="25"/>
      <c r="P355" s="25"/>
      <c r="Q355" s="25">
        <v>617.5</v>
      </c>
      <c r="R355" s="25"/>
      <c r="S355" s="72"/>
      <c r="T355" s="111">
        <f t="shared" si="8"/>
        <v>0</v>
      </c>
      <c r="U355" s="11"/>
      <c r="V355" s="11"/>
      <c r="W355" s="11"/>
      <c r="X355" s="11"/>
      <c r="Y355" s="11"/>
      <c r="Z355" s="74"/>
      <c r="AA355" s="70"/>
      <c r="AB355" s="70"/>
      <c r="AC355" s="70"/>
      <c r="AD355" s="70"/>
      <c r="AE355" s="75"/>
    </row>
    <row r="356" spans="1:31" ht="38.25" thickBot="1">
      <c r="A356" s="236"/>
      <c r="B356" s="238"/>
      <c r="C356" s="18" t="s">
        <v>8</v>
      </c>
      <c r="D356" s="188"/>
      <c r="E356" s="188"/>
      <c r="F356" s="194"/>
      <c r="G356" s="18" t="s">
        <v>164</v>
      </c>
      <c r="H356" s="5">
        <f t="shared" si="6"/>
        <v>16488.2</v>
      </c>
      <c r="I356" s="5"/>
      <c r="J356" s="5"/>
      <c r="K356" s="5"/>
      <c r="L356" s="5"/>
      <c r="M356" s="5"/>
      <c r="N356" s="5"/>
      <c r="O356" s="17"/>
      <c r="P356" s="17"/>
      <c r="Q356" s="17"/>
      <c r="R356" s="17">
        <v>16488.2</v>
      </c>
      <c r="S356" s="58"/>
      <c r="T356" s="59">
        <f t="shared" si="8"/>
        <v>0</v>
      </c>
      <c r="U356" s="5"/>
      <c r="V356" s="5"/>
      <c r="W356" s="5"/>
      <c r="X356" s="5"/>
      <c r="Y356" s="5"/>
      <c r="Z356" s="60"/>
      <c r="AA356" s="57"/>
      <c r="AB356" s="57"/>
      <c r="AC356" s="57"/>
      <c r="AD356" s="57"/>
      <c r="AE356" s="61"/>
    </row>
    <row r="357" spans="1:31" s="100" customFormat="1" ht="37.5">
      <c r="A357" s="235">
        <f>A355+1</f>
        <v>173</v>
      </c>
      <c r="B357" s="237" t="s">
        <v>280</v>
      </c>
      <c r="C357" s="44" t="s">
        <v>68</v>
      </c>
      <c r="D357" s="187" t="s">
        <v>5</v>
      </c>
      <c r="E357" s="187" t="s">
        <v>5</v>
      </c>
      <c r="F357" s="192" t="s">
        <v>17</v>
      </c>
      <c r="G357" s="7" t="s">
        <v>76</v>
      </c>
      <c r="H357" s="11">
        <f t="shared" si="6"/>
        <v>603.8</v>
      </c>
      <c r="I357" s="11"/>
      <c r="J357" s="11"/>
      <c r="K357" s="11"/>
      <c r="L357" s="11"/>
      <c r="M357" s="11"/>
      <c r="N357" s="11"/>
      <c r="O357" s="25"/>
      <c r="P357" s="25"/>
      <c r="Q357" s="25">
        <v>603.8</v>
      </c>
      <c r="R357" s="25"/>
      <c r="S357" s="72"/>
      <c r="T357" s="111">
        <f t="shared" si="8"/>
        <v>0</v>
      </c>
      <c r="U357" s="11"/>
      <c r="V357" s="11"/>
      <c r="W357" s="11"/>
      <c r="X357" s="11"/>
      <c r="Y357" s="11"/>
      <c r="Z357" s="74"/>
      <c r="AA357" s="70"/>
      <c r="AB357" s="70"/>
      <c r="AC357" s="70"/>
      <c r="AD357" s="70"/>
      <c r="AE357" s="75"/>
    </row>
    <row r="358" spans="1:31" ht="38.25" thickBot="1">
      <c r="A358" s="236"/>
      <c r="B358" s="238"/>
      <c r="C358" s="18" t="s">
        <v>8</v>
      </c>
      <c r="D358" s="188"/>
      <c r="E358" s="188"/>
      <c r="F358" s="194"/>
      <c r="G358" s="18" t="s">
        <v>164</v>
      </c>
      <c r="H358" s="5">
        <f t="shared" si="6"/>
        <v>14104</v>
      </c>
      <c r="I358" s="5"/>
      <c r="J358" s="5"/>
      <c r="K358" s="5"/>
      <c r="L358" s="5"/>
      <c r="M358" s="5"/>
      <c r="N358" s="5"/>
      <c r="O358" s="17"/>
      <c r="P358" s="17"/>
      <c r="Q358" s="17"/>
      <c r="R358" s="17">
        <v>14104</v>
      </c>
      <c r="S358" s="58"/>
      <c r="T358" s="59">
        <f t="shared" si="8"/>
        <v>0</v>
      </c>
      <c r="U358" s="5"/>
      <c r="V358" s="5"/>
      <c r="W358" s="5"/>
      <c r="X358" s="5"/>
      <c r="Y358" s="5"/>
      <c r="Z358" s="60"/>
      <c r="AA358" s="57"/>
      <c r="AB358" s="57"/>
      <c r="AC358" s="57"/>
      <c r="AD358" s="57"/>
      <c r="AE358" s="61"/>
    </row>
    <row r="359" spans="1:31" s="100" customFormat="1" ht="37.5">
      <c r="A359" s="235">
        <f>A357+1</f>
        <v>174</v>
      </c>
      <c r="B359" s="237" t="s">
        <v>281</v>
      </c>
      <c r="C359" s="44" t="s">
        <v>68</v>
      </c>
      <c r="D359" s="187" t="s">
        <v>5</v>
      </c>
      <c r="E359" s="187" t="s">
        <v>5</v>
      </c>
      <c r="F359" s="192" t="s">
        <v>17</v>
      </c>
      <c r="G359" s="7" t="s">
        <v>76</v>
      </c>
      <c r="H359" s="11">
        <f t="shared" si="6"/>
        <v>345</v>
      </c>
      <c r="I359" s="11"/>
      <c r="J359" s="11"/>
      <c r="K359" s="11"/>
      <c r="L359" s="11"/>
      <c r="M359" s="11"/>
      <c r="N359" s="11"/>
      <c r="O359" s="25"/>
      <c r="P359" s="25"/>
      <c r="Q359" s="25">
        <v>345</v>
      </c>
      <c r="R359" s="25"/>
      <c r="S359" s="72"/>
      <c r="T359" s="111">
        <f t="shared" si="8"/>
        <v>0</v>
      </c>
      <c r="U359" s="11"/>
      <c r="V359" s="11"/>
      <c r="W359" s="11"/>
      <c r="X359" s="11"/>
      <c r="Y359" s="11"/>
      <c r="Z359" s="74"/>
      <c r="AA359" s="70"/>
      <c r="AB359" s="70"/>
      <c r="AC359" s="70"/>
      <c r="AD359" s="70"/>
      <c r="AE359" s="75"/>
    </row>
    <row r="360" spans="1:31" ht="38.25" thickBot="1">
      <c r="A360" s="236"/>
      <c r="B360" s="238"/>
      <c r="C360" s="18" t="s">
        <v>8</v>
      </c>
      <c r="D360" s="188"/>
      <c r="E360" s="188"/>
      <c r="F360" s="194"/>
      <c r="G360" s="18" t="s">
        <v>164</v>
      </c>
      <c r="H360" s="5">
        <f t="shared" si="6"/>
        <v>4948.8</v>
      </c>
      <c r="I360" s="5"/>
      <c r="J360" s="5"/>
      <c r="K360" s="5"/>
      <c r="L360" s="5"/>
      <c r="M360" s="5"/>
      <c r="N360" s="5"/>
      <c r="O360" s="17"/>
      <c r="P360" s="17"/>
      <c r="Q360" s="17"/>
      <c r="R360" s="17">
        <v>4948.8</v>
      </c>
      <c r="S360" s="58"/>
      <c r="T360" s="59">
        <f t="shared" si="8"/>
        <v>0</v>
      </c>
      <c r="U360" s="5"/>
      <c r="V360" s="5"/>
      <c r="W360" s="5"/>
      <c r="X360" s="5"/>
      <c r="Y360" s="5"/>
      <c r="Z360" s="60"/>
      <c r="AA360" s="57"/>
      <c r="AB360" s="57"/>
      <c r="AC360" s="57"/>
      <c r="AD360" s="57"/>
      <c r="AE360" s="61"/>
    </row>
    <row r="361" spans="1:31" ht="132" thickBot="1">
      <c r="A361" s="109">
        <f>A359+1</f>
        <v>175</v>
      </c>
      <c r="B361" s="108" t="s">
        <v>282</v>
      </c>
      <c r="C361" s="18" t="s">
        <v>86</v>
      </c>
      <c r="D361" s="64" t="s">
        <v>87</v>
      </c>
      <c r="E361" s="64" t="s">
        <v>87</v>
      </c>
      <c r="F361" s="17" t="s">
        <v>17</v>
      </c>
      <c r="G361" s="18" t="s">
        <v>76</v>
      </c>
      <c r="H361" s="5">
        <f t="shared" si="6"/>
        <v>5636</v>
      </c>
      <c r="I361" s="5"/>
      <c r="J361" s="5"/>
      <c r="K361" s="5"/>
      <c r="L361" s="5"/>
      <c r="M361" s="5"/>
      <c r="N361" s="5"/>
      <c r="O361" s="17"/>
      <c r="P361" s="17"/>
      <c r="Q361" s="17">
        <v>5636</v>
      </c>
      <c r="R361" s="17"/>
      <c r="S361" s="58"/>
      <c r="T361" s="59">
        <f t="shared" si="8"/>
        <v>0</v>
      </c>
      <c r="U361" s="5"/>
      <c r="V361" s="5"/>
      <c r="W361" s="5"/>
      <c r="X361" s="5"/>
      <c r="Y361" s="5"/>
      <c r="Z361" s="60"/>
      <c r="AA361" s="57"/>
      <c r="AB361" s="57"/>
      <c r="AC361" s="57"/>
      <c r="AD361" s="57"/>
      <c r="AE361" s="61"/>
    </row>
    <row r="362" spans="1:31" s="100" customFormat="1" ht="37.5">
      <c r="A362" s="235">
        <f>A361+1</f>
        <v>176</v>
      </c>
      <c r="B362" s="237" t="s">
        <v>283</v>
      </c>
      <c r="C362" s="44" t="s">
        <v>68</v>
      </c>
      <c r="D362" s="187" t="s">
        <v>5</v>
      </c>
      <c r="E362" s="187" t="s">
        <v>5</v>
      </c>
      <c r="F362" s="192" t="s">
        <v>17</v>
      </c>
      <c r="G362" s="7" t="s">
        <v>76</v>
      </c>
      <c r="H362" s="11">
        <f t="shared" si="6"/>
        <v>580.1</v>
      </c>
      <c r="I362" s="11"/>
      <c r="J362" s="11"/>
      <c r="K362" s="11"/>
      <c r="L362" s="11"/>
      <c r="M362" s="11"/>
      <c r="N362" s="11"/>
      <c r="O362" s="25"/>
      <c r="P362" s="25"/>
      <c r="Q362" s="25">
        <v>580.1</v>
      </c>
      <c r="R362" s="25"/>
      <c r="S362" s="72"/>
      <c r="T362" s="111">
        <f t="shared" si="8"/>
        <v>0</v>
      </c>
      <c r="U362" s="11"/>
      <c r="V362" s="11"/>
      <c r="W362" s="11"/>
      <c r="X362" s="11"/>
      <c r="Y362" s="11"/>
      <c r="Z362" s="74"/>
      <c r="AA362" s="70"/>
      <c r="AB362" s="70"/>
      <c r="AC362" s="70"/>
      <c r="AD362" s="70"/>
      <c r="AE362" s="75"/>
    </row>
    <row r="363" spans="1:31" ht="38.25" thickBot="1">
      <c r="A363" s="236"/>
      <c r="B363" s="238"/>
      <c r="C363" s="18" t="s">
        <v>8</v>
      </c>
      <c r="D363" s="188"/>
      <c r="E363" s="188"/>
      <c r="F363" s="194"/>
      <c r="G363" s="18" t="s">
        <v>164</v>
      </c>
      <c r="H363" s="5">
        <f t="shared" si="6"/>
        <v>12970.9</v>
      </c>
      <c r="I363" s="5"/>
      <c r="J363" s="5"/>
      <c r="K363" s="5"/>
      <c r="L363" s="5"/>
      <c r="M363" s="5"/>
      <c r="N363" s="5"/>
      <c r="O363" s="17"/>
      <c r="P363" s="17"/>
      <c r="Q363" s="17"/>
      <c r="R363" s="17">
        <v>12970.9</v>
      </c>
      <c r="S363" s="58"/>
      <c r="T363" s="59">
        <f t="shared" si="8"/>
        <v>0</v>
      </c>
      <c r="U363" s="5"/>
      <c r="V363" s="5"/>
      <c r="W363" s="5"/>
      <c r="X363" s="5"/>
      <c r="Y363" s="5"/>
      <c r="Z363" s="60"/>
      <c r="AA363" s="57"/>
      <c r="AB363" s="57"/>
      <c r="AC363" s="57"/>
      <c r="AD363" s="57"/>
      <c r="AE363" s="61"/>
    </row>
    <row r="364" spans="1:31" s="100" customFormat="1" ht="37.5">
      <c r="A364" s="235">
        <f>A362+1</f>
        <v>177</v>
      </c>
      <c r="B364" s="237" t="s">
        <v>284</v>
      </c>
      <c r="C364" s="44" t="s">
        <v>68</v>
      </c>
      <c r="D364" s="187" t="s">
        <v>5</v>
      </c>
      <c r="E364" s="187" t="s">
        <v>5</v>
      </c>
      <c r="F364" s="192" t="s">
        <v>17</v>
      </c>
      <c r="G364" s="7" t="s">
        <v>76</v>
      </c>
      <c r="H364" s="11">
        <f t="shared" si="6"/>
        <v>278.6</v>
      </c>
      <c r="I364" s="11"/>
      <c r="J364" s="11"/>
      <c r="K364" s="11"/>
      <c r="L364" s="11"/>
      <c r="M364" s="11"/>
      <c r="N364" s="11"/>
      <c r="O364" s="25"/>
      <c r="P364" s="25"/>
      <c r="Q364" s="25">
        <v>278.6</v>
      </c>
      <c r="R364" s="25"/>
      <c r="S364" s="72"/>
      <c r="T364" s="111">
        <f t="shared" si="8"/>
        <v>0</v>
      </c>
      <c r="U364" s="11"/>
      <c r="V364" s="11"/>
      <c r="W364" s="11"/>
      <c r="X364" s="11"/>
      <c r="Y364" s="11"/>
      <c r="Z364" s="74"/>
      <c r="AA364" s="70"/>
      <c r="AB364" s="70"/>
      <c r="AC364" s="70"/>
      <c r="AD364" s="70"/>
      <c r="AE364" s="75"/>
    </row>
    <row r="365" spans="1:31" ht="38.25" thickBot="1">
      <c r="A365" s="236"/>
      <c r="B365" s="238"/>
      <c r="C365" s="18" t="s">
        <v>8</v>
      </c>
      <c r="D365" s="188"/>
      <c r="E365" s="188"/>
      <c r="F365" s="194"/>
      <c r="G365" s="18" t="s">
        <v>164</v>
      </c>
      <c r="H365" s="5">
        <f t="shared" si="6"/>
        <v>5458.9</v>
      </c>
      <c r="I365" s="5"/>
      <c r="J365" s="5"/>
      <c r="K365" s="5"/>
      <c r="L365" s="5"/>
      <c r="M365" s="5"/>
      <c r="N365" s="5"/>
      <c r="O365" s="17"/>
      <c r="P365" s="17"/>
      <c r="Q365" s="17"/>
      <c r="R365" s="17">
        <v>5458.9</v>
      </c>
      <c r="S365" s="58"/>
      <c r="T365" s="59">
        <f aca="true" t="shared" si="9" ref="T365:T378">SUM(U365:AE365)</f>
        <v>0</v>
      </c>
      <c r="U365" s="5"/>
      <c r="V365" s="5"/>
      <c r="W365" s="5"/>
      <c r="X365" s="5"/>
      <c r="Y365" s="5"/>
      <c r="Z365" s="60"/>
      <c r="AA365" s="57"/>
      <c r="AB365" s="57"/>
      <c r="AC365" s="57"/>
      <c r="AD365" s="57"/>
      <c r="AE365" s="61"/>
    </row>
    <row r="366" spans="1:31" s="100" customFormat="1" ht="37.5">
      <c r="A366" s="235">
        <f>A364+1</f>
        <v>178</v>
      </c>
      <c r="B366" s="237" t="s">
        <v>285</v>
      </c>
      <c r="C366" s="44" t="s">
        <v>68</v>
      </c>
      <c r="D366" s="187" t="s">
        <v>5</v>
      </c>
      <c r="E366" s="187" t="s">
        <v>5</v>
      </c>
      <c r="F366" s="192">
        <f>11214/1000</f>
        <v>11.214</v>
      </c>
      <c r="G366" s="7" t="s">
        <v>76</v>
      </c>
      <c r="H366" s="11">
        <f t="shared" si="6"/>
        <v>75000</v>
      </c>
      <c r="I366" s="11"/>
      <c r="J366" s="11"/>
      <c r="K366" s="11"/>
      <c r="L366" s="11"/>
      <c r="M366" s="11"/>
      <c r="N366" s="11"/>
      <c r="O366" s="25"/>
      <c r="P366" s="25"/>
      <c r="Q366" s="25">
        <v>75000</v>
      </c>
      <c r="R366" s="25"/>
      <c r="S366" s="72"/>
      <c r="T366" s="111">
        <f t="shared" si="9"/>
        <v>0</v>
      </c>
      <c r="U366" s="11"/>
      <c r="V366" s="11"/>
      <c r="W366" s="11"/>
      <c r="X366" s="11"/>
      <c r="Y366" s="11"/>
      <c r="Z366" s="74"/>
      <c r="AA366" s="70"/>
      <c r="AB366" s="70"/>
      <c r="AC366" s="70"/>
      <c r="AD366" s="70"/>
      <c r="AE366" s="75"/>
    </row>
    <row r="367" spans="1:31" ht="38.25" thickBot="1">
      <c r="A367" s="236"/>
      <c r="B367" s="238"/>
      <c r="C367" s="18" t="s">
        <v>8</v>
      </c>
      <c r="D367" s="188"/>
      <c r="E367" s="188"/>
      <c r="F367" s="194"/>
      <c r="G367" s="18" t="s">
        <v>164</v>
      </c>
      <c r="H367" s="5">
        <f t="shared" si="6"/>
        <v>221960</v>
      </c>
      <c r="I367" s="5"/>
      <c r="J367" s="5"/>
      <c r="K367" s="5"/>
      <c r="L367" s="5"/>
      <c r="M367" s="5"/>
      <c r="N367" s="5"/>
      <c r="O367" s="17"/>
      <c r="P367" s="17"/>
      <c r="Q367" s="17"/>
      <c r="R367" s="17">
        <v>221960</v>
      </c>
      <c r="S367" s="58"/>
      <c r="T367" s="59">
        <f t="shared" si="9"/>
        <v>0</v>
      </c>
      <c r="U367" s="5"/>
      <c r="V367" s="5"/>
      <c r="W367" s="5"/>
      <c r="X367" s="5"/>
      <c r="Y367" s="5"/>
      <c r="Z367" s="60"/>
      <c r="AA367" s="57"/>
      <c r="AB367" s="57"/>
      <c r="AC367" s="57"/>
      <c r="AD367" s="57"/>
      <c r="AE367" s="61"/>
    </row>
    <row r="368" spans="1:31" ht="57" thickBot="1">
      <c r="A368" s="109">
        <f>A366+1</f>
        <v>179</v>
      </c>
      <c r="B368" s="108" t="s">
        <v>286</v>
      </c>
      <c r="C368" s="18" t="s">
        <v>287</v>
      </c>
      <c r="D368" s="64" t="s">
        <v>58</v>
      </c>
      <c r="E368" s="64" t="s">
        <v>58</v>
      </c>
      <c r="F368" s="17">
        <f>500/1000</f>
        <v>0.5</v>
      </c>
      <c r="G368" s="18" t="s">
        <v>136</v>
      </c>
      <c r="H368" s="5">
        <f t="shared" si="6"/>
        <v>26188.7</v>
      </c>
      <c r="I368" s="5"/>
      <c r="J368" s="5"/>
      <c r="K368" s="5"/>
      <c r="L368" s="5"/>
      <c r="M368" s="5"/>
      <c r="N368" s="5">
        <v>26188.7</v>
      </c>
      <c r="O368" s="17"/>
      <c r="P368" s="17"/>
      <c r="Q368" s="17"/>
      <c r="R368" s="17"/>
      <c r="S368" s="58"/>
      <c r="T368" s="59">
        <f t="shared" si="9"/>
        <v>0</v>
      </c>
      <c r="U368" s="5"/>
      <c r="V368" s="5"/>
      <c r="W368" s="5"/>
      <c r="X368" s="5"/>
      <c r="Y368" s="5"/>
      <c r="Z368" s="60"/>
      <c r="AA368" s="57"/>
      <c r="AB368" s="57"/>
      <c r="AC368" s="57"/>
      <c r="AD368" s="57"/>
      <c r="AE368" s="61"/>
    </row>
    <row r="369" spans="1:31" s="100" customFormat="1" ht="37.5">
      <c r="A369" s="235">
        <f>A368+1</f>
        <v>180</v>
      </c>
      <c r="B369" s="237" t="s">
        <v>288</v>
      </c>
      <c r="C369" s="44" t="s">
        <v>68</v>
      </c>
      <c r="D369" s="187" t="s">
        <v>5</v>
      </c>
      <c r="E369" s="187" t="s">
        <v>5</v>
      </c>
      <c r="F369" s="192"/>
      <c r="G369" s="7" t="s">
        <v>76</v>
      </c>
      <c r="H369" s="11">
        <f t="shared" si="6"/>
        <v>1400.4</v>
      </c>
      <c r="I369" s="11"/>
      <c r="J369" s="11"/>
      <c r="K369" s="11"/>
      <c r="L369" s="11"/>
      <c r="M369" s="11"/>
      <c r="N369" s="11"/>
      <c r="O369" s="25"/>
      <c r="P369" s="25"/>
      <c r="Q369" s="25">
        <v>1400.4</v>
      </c>
      <c r="R369" s="25"/>
      <c r="S369" s="72"/>
      <c r="T369" s="111">
        <f t="shared" si="9"/>
        <v>0</v>
      </c>
      <c r="U369" s="11"/>
      <c r="V369" s="11"/>
      <c r="W369" s="11"/>
      <c r="X369" s="11"/>
      <c r="Y369" s="11"/>
      <c r="Z369" s="74"/>
      <c r="AA369" s="70"/>
      <c r="AB369" s="70"/>
      <c r="AC369" s="70"/>
      <c r="AD369" s="70"/>
      <c r="AE369" s="75"/>
    </row>
    <row r="370" spans="1:31" ht="38.25" thickBot="1">
      <c r="A370" s="236"/>
      <c r="B370" s="238"/>
      <c r="C370" s="18" t="s">
        <v>8</v>
      </c>
      <c r="D370" s="188"/>
      <c r="E370" s="188"/>
      <c r="F370" s="194"/>
      <c r="G370" s="18" t="s">
        <v>164</v>
      </c>
      <c r="H370" s="5">
        <f t="shared" si="6"/>
        <v>29300</v>
      </c>
      <c r="I370" s="5"/>
      <c r="J370" s="5"/>
      <c r="K370" s="5"/>
      <c r="L370" s="5"/>
      <c r="M370" s="5"/>
      <c r="N370" s="5"/>
      <c r="O370" s="17"/>
      <c r="P370" s="17"/>
      <c r="Q370" s="17"/>
      <c r="R370" s="17">
        <v>29300</v>
      </c>
      <c r="S370" s="58"/>
      <c r="T370" s="59">
        <f t="shared" si="9"/>
        <v>0</v>
      </c>
      <c r="U370" s="5"/>
      <c r="V370" s="5"/>
      <c r="W370" s="5"/>
      <c r="X370" s="5"/>
      <c r="Y370" s="5"/>
      <c r="Z370" s="60"/>
      <c r="AA370" s="57"/>
      <c r="AB370" s="57"/>
      <c r="AC370" s="57"/>
      <c r="AD370" s="57"/>
      <c r="AE370" s="61"/>
    </row>
    <row r="371" spans="1:31" ht="57" thickBot="1">
      <c r="A371" s="109">
        <f>A369+1</f>
        <v>181</v>
      </c>
      <c r="B371" s="108" t="s">
        <v>289</v>
      </c>
      <c r="C371" s="18" t="s">
        <v>8</v>
      </c>
      <c r="D371" s="64" t="s">
        <v>5</v>
      </c>
      <c r="E371" s="16" t="s">
        <v>5</v>
      </c>
      <c r="F371" s="17">
        <f>2415/1000</f>
        <v>2.415</v>
      </c>
      <c r="G371" s="18" t="s">
        <v>134</v>
      </c>
      <c r="H371" s="5">
        <f t="shared" si="6"/>
        <v>112408.9</v>
      </c>
      <c r="I371" s="5"/>
      <c r="J371" s="5"/>
      <c r="K371" s="5"/>
      <c r="L371" s="5"/>
      <c r="M371" s="5"/>
      <c r="N371" s="5">
        <v>112408.9</v>
      </c>
      <c r="O371" s="17"/>
      <c r="P371" s="17"/>
      <c r="Q371" s="17"/>
      <c r="R371" s="17"/>
      <c r="S371" s="58"/>
      <c r="T371" s="59">
        <f t="shared" si="9"/>
        <v>0</v>
      </c>
      <c r="U371" s="5"/>
      <c r="V371" s="5"/>
      <c r="W371" s="5"/>
      <c r="X371" s="5"/>
      <c r="Y371" s="5"/>
      <c r="Z371" s="60"/>
      <c r="AA371" s="57"/>
      <c r="AB371" s="57"/>
      <c r="AC371" s="57"/>
      <c r="AD371" s="57"/>
      <c r="AE371" s="61"/>
    </row>
    <row r="372" spans="1:31" s="100" customFormat="1" ht="37.5">
      <c r="A372" s="235">
        <f>A371+1</f>
        <v>182</v>
      </c>
      <c r="B372" s="237" t="s">
        <v>290</v>
      </c>
      <c r="C372" s="44" t="s">
        <v>68</v>
      </c>
      <c r="D372" s="187" t="s">
        <v>5</v>
      </c>
      <c r="E372" s="187" t="s">
        <v>5</v>
      </c>
      <c r="F372" s="192" t="s">
        <v>17</v>
      </c>
      <c r="G372" s="7" t="s">
        <v>76</v>
      </c>
      <c r="H372" s="11">
        <f t="shared" si="6"/>
        <v>830</v>
      </c>
      <c r="I372" s="11"/>
      <c r="J372" s="11"/>
      <c r="K372" s="11"/>
      <c r="L372" s="11"/>
      <c r="M372" s="11"/>
      <c r="N372" s="11"/>
      <c r="O372" s="25"/>
      <c r="P372" s="25"/>
      <c r="Q372" s="25">
        <v>830</v>
      </c>
      <c r="R372" s="25"/>
      <c r="S372" s="72"/>
      <c r="T372" s="111">
        <f t="shared" si="9"/>
        <v>0</v>
      </c>
      <c r="U372" s="11"/>
      <c r="V372" s="11"/>
      <c r="W372" s="11"/>
      <c r="X372" s="11"/>
      <c r="Y372" s="11"/>
      <c r="Z372" s="74"/>
      <c r="AA372" s="70"/>
      <c r="AB372" s="70"/>
      <c r="AC372" s="70"/>
      <c r="AD372" s="70"/>
      <c r="AE372" s="75"/>
    </row>
    <row r="373" spans="1:31" ht="88.5" customHeight="1" thickBot="1">
      <c r="A373" s="236"/>
      <c r="B373" s="238"/>
      <c r="C373" s="18" t="s">
        <v>8</v>
      </c>
      <c r="D373" s="188"/>
      <c r="E373" s="188"/>
      <c r="F373" s="194"/>
      <c r="G373" s="18" t="s">
        <v>164</v>
      </c>
      <c r="H373" s="5">
        <f t="shared" si="6"/>
        <v>7434.8</v>
      </c>
      <c r="I373" s="5"/>
      <c r="J373" s="5"/>
      <c r="K373" s="5"/>
      <c r="L373" s="5"/>
      <c r="M373" s="5"/>
      <c r="N373" s="5"/>
      <c r="O373" s="17"/>
      <c r="P373" s="17"/>
      <c r="Q373" s="17"/>
      <c r="R373" s="17">
        <v>7434.8</v>
      </c>
      <c r="S373" s="58"/>
      <c r="T373" s="59">
        <f t="shared" si="9"/>
        <v>0</v>
      </c>
      <c r="U373" s="5"/>
      <c r="V373" s="5"/>
      <c r="W373" s="5"/>
      <c r="X373" s="5"/>
      <c r="Y373" s="5"/>
      <c r="Z373" s="60"/>
      <c r="AA373" s="57"/>
      <c r="AB373" s="57"/>
      <c r="AC373" s="57"/>
      <c r="AD373" s="57"/>
      <c r="AE373" s="61"/>
    </row>
    <row r="374" spans="1:31" s="100" customFormat="1" ht="37.5">
      <c r="A374" s="235">
        <f>A372+1</f>
        <v>183</v>
      </c>
      <c r="B374" s="237" t="s">
        <v>291</v>
      </c>
      <c r="C374" s="44" t="s">
        <v>68</v>
      </c>
      <c r="D374" s="187" t="s">
        <v>5</v>
      </c>
      <c r="E374" s="187" t="s">
        <v>5</v>
      </c>
      <c r="F374" s="192"/>
      <c r="G374" s="7" t="s">
        <v>76</v>
      </c>
      <c r="H374" s="11">
        <f t="shared" si="6"/>
        <v>700</v>
      </c>
      <c r="I374" s="11"/>
      <c r="J374" s="11"/>
      <c r="K374" s="11"/>
      <c r="L374" s="11"/>
      <c r="M374" s="11"/>
      <c r="N374" s="11"/>
      <c r="O374" s="25"/>
      <c r="P374" s="25"/>
      <c r="Q374" s="25">
        <v>700</v>
      </c>
      <c r="R374" s="25"/>
      <c r="S374" s="72"/>
      <c r="T374" s="111">
        <f t="shared" si="9"/>
        <v>0</v>
      </c>
      <c r="U374" s="11"/>
      <c r="V374" s="11"/>
      <c r="W374" s="11"/>
      <c r="X374" s="11"/>
      <c r="Y374" s="11"/>
      <c r="Z374" s="74"/>
      <c r="AA374" s="70"/>
      <c r="AB374" s="70"/>
      <c r="AC374" s="70"/>
      <c r="AD374" s="70"/>
      <c r="AE374" s="75"/>
    </row>
    <row r="375" spans="1:31" ht="38.25" thickBot="1">
      <c r="A375" s="236"/>
      <c r="B375" s="238"/>
      <c r="C375" s="18" t="s">
        <v>8</v>
      </c>
      <c r="D375" s="188"/>
      <c r="E375" s="188"/>
      <c r="F375" s="194"/>
      <c r="G375" s="18" t="s">
        <v>164</v>
      </c>
      <c r="H375" s="5">
        <f t="shared" si="6"/>
        <v>6300</v>
      </c>
      <c r="I375" s="5"/>
      <c r="J375" s="5"/>
      <c r="K375" s="5"/>
      <c r="L375" s="5"/>
      <c r="M375" s="5"/>
      <c r="N375" s="5"/>
      <c r="O375" s="17"/>
      <c r="P375" s="17"/>
      <c r="Q375" s="17"/>
      <c r="R375" s="17">
        <v>6300</v>
      </c>
      <c r="S375" s="58"/>
      <c r="T375" s="59">
        <f t="shared" si="9"/>
        <v>0</v>
      </c>
      <c r="U375" s="5"/>
      <c r="V375" s="5"/>
      <c r="W375" s="5"/>
      <c r="X375" s="5"/>
      <c r="Y375" s="5"/>
      <c r="Z375" s="60"/>
      <c r="AA375" s="57"/>
      <c r="AB375" s="57"/>
      <c r="AC375" s="57"/>
      <c r="AD375" s="57"/>
      <c r="AE375" s="61"/>
    </row>
    <row r="376" spans="1:31" s="100" customFormat="1" ht="37.5">
      <c r="A376" s="235">
        <f>A374+1</f>
        <v>184</v>
      </c>
      <c r="B376" s="237" t="s">
        <v>292</v>
      </c>
      <c r="C376" s="44" t="s">
        <v>68</v>
      </c>
      <c r="D376" s="187" t="s">
        <v>5</v>
      </c>
      <c r="E376" s="187" t="s">
        <v>5</v>
      </c>
      <c r="F376" s="192" t="s">
        <v>17</v>
      </c>
      <c r="G376" s="7" t="s">
        <v>76</v>
      </c>
      <c r="H376" s="11">
        <f t="shared" si="6"/>
        <v>440</v>
      </c>
      <c r="I376" s="11"/>
      <c r="J376" s="11"/>
      <c r="K376" s="11"/>
      <c r="L376" s="11"/>
      <c r="M376" s="11"/>
      <c r="N376" s="11"/>
      <c r="O376" s="25"/>
      <c r="P376" s="25"/>
      <c r="Q376" s="25">
        <v>440</v>
      </c>
      <c r="R376" s="25"/>
      <c r="S376" s="72"/>
      <c r="T376" s="111">
        <f t="shared" si="9"/>
        <v>0</v>
      </c>
      <c r="U376" s="11"/>
      <c r="V376" s="11"/>
      <c r="W376" s="11"/>
      <c r="X376" s="11"/>
      <c r="Y376" s="11"/>
      <c r="Z376" s="74"/>
      <c r="AA376" s="70"/>
      <c r="AB376" s="70"/>
      <c r="AC376" s="70"/>
      <c r="AD376" s="70"/>
      <c r="AE376" s="75"/>
    </row>
    <row r="377" spans="1:31" ht="38.25" thickBot="1">
      <c r="A377" s="236"/>
      <c r="B377" s="238"/>
      <c r="C377" s="18" t="s">
        <v>8</v>
      </c>
      <c r="D377" s="188"/>
      <c r="E377" s="188"/>
      <c r="F377" s="194"/>
      <c r="G377" s="18" t="s">
        <v>164</v>
      </c>
      <c r="H377" s="5">
        <f t="shared" si="6"/>
        <v>3960</v>
      </c>
      <c r="I377" s="5"/>
      <c r="J377" s="5"/>
      <c r="K377" s="5"/>
      <c r="L377" s="5"/>
      <c r="M377" s="5"/>
      <c r="N377" s="5"/>
      <c r="O377" s="17"/>
      <c r="P377" s="17"/>
      <c r="Q377" s="17"/>
      <c r="R377" s="17">
        <v>3960</v>
      </c>
      <c r="S377" s="58"/>
      <c r="T377" s="59">
        <f t="shared" si="9"/>
        <v>0</v>
      </c>
      <c r="U377" s="5"/>
      <c r="V377" s="5"/>
      <c r="W377" s="5"/>
      <c r="X377" s="5"/>
      <c r="Y377" s="5"/>
      <c r="Z377" s="60"/>
      <c r="AA377" s="57"/>
      <c r="AB377" s="57"/>
      <c r="AC377" s="57"/>
      <c r="AD377" s="57"/>
      <c r="AE377" s="61"/>
    </row>
    <row r="378" spans="1:31" ht="57" thickBot="1">
      <c r="A378" s="112">
        <v>185</v>
      </c>
      <c r="B378" s="113" t="s">
        <v>315</v>
      </c>
      <c r="C378" s="88" t="s">
        <v>68</v>
      </c>
      <c r="D378" s="64" t="s">
        <v>5</v>
      </c>
      <c r="E378" s="64" t="s">
        <v>5</v>
      </c>
      <c r="F378" s="24">
        <f>540/1000</f>
        <v>0.54</v>
      </c>
      <c r="G378" s="88" t="s">
        <v>76</v>
      </c>
      <c r="H378" s="65">
        <f t="shared" si="6"/>
        <v>121.7</v>
      </c>
      <c r="I378" s="65"/>
      <c r="J378" s="65"/>
      <c r="K378" s="65"/>
      <c r="L378" s="65"/>
      <c r="M378" s="65"/>
      <c r="N378" s="65"/>
      <c r="O378" s="24"/>
      <c r="P378" s="24"/>
      <c r="Q378" s="24">
        <v>121.7</v>
      </c>
      <c r="R378" s="24"/>
      <c r="S378" s="66"/>
      <c r="T378" s="59">
        <f t="shared" si="9"/>
        <v>0</v>
      </c>
      <c r="U378" s="65"/>
      <c r="V378" s="65"/>
      <c r="W378" s="65"/>
      <c r="X378" s="65"/>
      <c r="Y378" s="65"/>
      <c r="Z378" s="68"/>
      <c r="AA378" s="63"/>
      <c r="AB378" s="63"/>
      <c r="AC378" s="63"/>
      <c r="AD378" s="63"/>
      <c r="AE378" s="69"/>
    </row>
    <row r="379" spans="1:31" s="114" customFormat="1" ht="24" thickBot="1">
      <c r="A379" s="240" t="s">
        <v>7</v>
      </c>
      <c r="B379" s="241"/>
      <c r="C379" s="241"/>
      <c r="D379" s="241"/>
      <c r="E379" s="241"/>
      <c r="F379" s="241"/>
      <c r="G379" s="241"/>
      <c r="H379" s="27">
        <f aca="true" t="shared" si="10" ref="H379:AE379">SUM(H13:H378)</f>
        <v>3635108.7300000004</v>
      </c>
      <c r="I379" s="27">
        <f t="shared" si="10"/>
        <v>61370.7</v>
      </c>
      <c r="J379" s="27">
        <f t="shared" si="10"/>
        <v>226240.4601</v>
      </c>
      <c r="K379" s="27">
        <f t="shared" si="10"/>
        <v>187410.57</v>
      </c>
      <c r="L379" s="27">
        <f t="shared" si="10"/>
        <v>172356.8</v>
      </c>
      <c r="M379" s="286">
        <f t="shared" si="10"/>
        <v>102731.59999999999</v>
      </c>
      <c r="N379" s="27">
        <f t="shared" si="10"/>
        <v>393788.4</v>
      </c>
      <c r="O379" s="27">
        <f t="shared" si="10"/>
        <v>212548.79999999996</v>
      </c>
      <c r="P379" s="27">
        <f t="shared" si="10"/>
        <v>48596.9</v>
      </c>
      <c r="Q379" s="27">
        <f t="shared" si="10"/>
        <v>392106.2999999997</v>
      </c>
      <c r="R379" s="27">
        <f t="shared" si="10"/>
        <v>1583585.2</v>
      </c>
      <c r="S379" s="27">
        <f t="shared" si="10"/>
        <v>311109</v>
      </c>
      <c r="T379" s="27">
        <f t="shared" si="10"/>
        <v>930840.0981000001</v>
      </c>
      <c r="U379" s="27">
        <f t="shared" si="10"/>
        <v>97065.5</v>
      </c>
      <c r="V379" s="27">
        <f t="shared" si="10"/>
        <v>232061.9381</v>
      </c>
      <c r="W379" s="27">
        <f t="shared" si="10"/>
        <v>195863.36</v>
      </c>
      <c r="X379" s="27">
        <f t="shared" si="10"/>
        <v>174811.5</v>
      </c>
      <c r="Y379" s="287">
        <f t="shared" si="10"/>
        <v>102731.59999999999</v>
      </c>
      <c r="Z379" s="27">
        <f t="shared" si="10"/>
        <v>128306.2</v>
      </c>
      <c r="AA379" s="27">
        <f t="shared" si="10"/>
        <v>0</v>
      </c>
      <c r="AB379" s="27">
        <f t="shared" si="10"/>
        <v>0</v>
      </c>
      <c r="AC379" s="27">
        <f t="shared" si="10"/>
        <v>0</v>
      </c>
      <c r="AD379" s="27">
        <f t="shared" si="10"/>
        <v>0</v>
      </c>
      <c r="AE379" s="27">
        <f t="shared" si="10"/>
        <v>0</v>
      </c>
    </row>
    <row r="380" spans="1:31" ht="18.75">
      <c r="A380" s="263"/>
      <c r="B380" s="263"/>
      <c r="C380" s="263"/>
      <c r="D380" s="263"/>
      <c r="E380" s="263"/>
      <c r="F380" s="263"/>
      <c r="G380" s="263"/>
      <c r="H380" s="263"/>
      <c r="I380" s="263"/>
      <c r="J380" s="115"/>
      <c r="K380" s="115"/>
      <c r="L380" s="115"/>
      <c r="M380" s="115"/>
      <c r="N380" s="115"/>
      <c r="O380" s="21"/>
      <c r="P380" s="21"/>
      <c r="Q380" s="21"/>
      <c r="R380" s="21"/>
      <c r="S380" s="21"/>
      <c r="T380" s="115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</row>
    <row r="381" ht="23.25">
      <c r="Q381" s="1">
        <f>Q18+Q19+Q76+Q90+Q94+Q102+Q111+Q117+Q118+Q120+Q121+Q122+Q123+Q125+Q131+Q132+Q133+Q134+Q151+Q155+Q157+Q159+Q161+Q165+Q167+Q169+Q173+Q175+Q177+Q179+Q181+Q183+Q185+Q193+Q195+Q199+Q201+Q203+Q205+Q207+Q209+Q211+Q213+Q217+Q219+Q221+Q223+Q225+Q227+Q231+Q233+Q237+Q239+Q245+Q247+Q249+Q251+Q253+Q255+Q257+Q259+Q261+Q263+Q265+Q267+Q269+Q271+Q273+Q275+Q277+Q279+Q281+Q283+Q285+Q287+Q289+Q291+Q293+Q297+Q299+Q301+Q303+Q305+Q306+Q308+Q310+Q312+Q316+Q318+Q320+Q322+Q324+Q326+Q328+Q330+Q332+Q334+Q336+Q338+Q340+Q342+Q344+Q346+Q349+Q350+Q351+Q353+Q355+Q357+Q359+Q361+Q362+Q364+Q366+Q369+Q372+Q374+Q376+Q378</f>
        <v>392106.2999999997</v>
      </c>
    </row>
    <row r="382" spans="1:23" ht="65.25" customHeight="1">
      <c r="A382" s="277" t="s">
        <v>294</v>
      </c>
      <c r="B382" s="277"/>
      <c r="C382" s="277"/>
      <c r="D382" s="277"/>
      <c r="E382" s="277"/>
      <c r="F382" s="277"/>
      <c r="I382" s="117"/>
      <c r="J382" s="118"/>
      <c r="K382" s="117"/>
      <c r="L382" s="117"/>
      <c r="M382" s="117"/>
      <c r="N382" s="117"/>
      <c r="Q382" s="1">
        <v>1.1</v>
      </c>
      <c r="R382" s="1">
        <v>0.3</v>
      </c>
      <c r="T382" s="117"/>
      <c r="U382" s="117"/>
      <c r="V382" s="117"/>
      <c r="W382" s="117"/>
    </row>
    <row r="383" spans="9:20" ht="23.25">
      <c r="I383" s="117"/>
      <c r="J383" s="117"/>
      <c r="K383" s="117"/>
      <c r="L383" s="117"/>
      <c r="M383" s="117"/>
      <c r="N383" s="117"/>
      <c r="T383" s="117"/>
    </row>
    <row r="384" spans="9:20" ht="23.25">
      <c r="I384" s="117"/>
      <c r="J384" s="117"/>
      <c r="K384" s="117"/>
      <c r="L384" s="117"/>
      <c r="M384" s="117"/>
      <c r="N384" s="117"/>
      <c r="T384" s="117"/>
    </row>
    <row r="387" ht="26.25">
      <c r="J387" s="119"/>
    </row>
  </sheetData>
  <sheetProtection/>
  <autoFilter ref="A12:Y379"/>
  <mergeCells count="789">
    <mergeCell ref="A374:A375"/>
    <mergeCell ref="B374:B375"/>
    <mergeCell ref="D374:D375"/>
    <mergeCell ref="E374:E375"/>
    <mergeCell ref="F374:F375"/>
    <mergeCell ref="A376:A377"/>
    <mergeCell ref="B376:B377"/>
    <mergeCell ref="D376:D377"/>
    <mergeCell ref="E376:E377"/>
    <mergeCell ref="F376:F377"/>
    <mergeCell ref="A369:A370"/>
    <mergeCell ref="B369:B370"/>
    <mergeCell ref="D369:D370"/>
    <mergeCell ref="E369:E370"/>
    <mergeCell ref="F369:F370"/>
    <mergeCell ref="A372:A373"/>
    <mergeCell ref="B372:B373"/>
    <mergeCell ref="D372:D373"/>
    <mergeCell ref="E372:E373"/>
    <mergeCell ref="F372:F373"/>
    <mergeCell ref="A364:A365"/>
    <mergeCell ref="B364:B365"/>
    <mergeCell ref="D364:D365"/>
    <mergeCell ref="E364:E365"/>
    <mergeCell ref="F364:F365"/>
    <mergeCell ref="A366:A367"/>
    <mergeCell ref="B366:B367"/>
    <mergeCell ref="D366:D367"/>
    <mergeCell ref="E366:E367"/>
    <mergeCell ref="F366:F367"/>
    <mergeCell ref="A359:A360"/>
    <mergeCell ref="B359:B360"/>
    <mergeCell ref="D359:D360"/>
    <mergeCell ref="E359:E360"/>
    <mergeCell ref="F359:F360"/>
    <mergeCell ref="A362:A363"/>
    <mergeCell ref="B362:B363"/>
    <mergeCell ref="D362:D363"/>
    <mergeCell ref="E362:E363"/>
    <mergeCell ref="F362:F363"/>
    <mergeCell ref="B353:B354"/>
    <mergeCell ref="D353:D354"/>
    <mergeCell ref="E353:E354"/>
    <mergeCell ref="F353:F354"/>
    <mergeCell ref="A355:A356"/>
    <mergeCell ref="B355:B356"/>
    <mergeCell ref="D355:D356"/>
    <mergeCell ref="E355:E356"/>
    <mergeCell ref="F355:F356"/>
    <mergeCell ref="A353:A354"/>
    <mergeCell ref="A357:A358"/>
    <mergeCell ref="B357:B358"/>
    <mergeCell ref="D357:D358"/>
    <mergeCell ref="E357:E358"/>
    <mergeCell ref="F357:F358"/>
    <mergeCell ref="A351:A352"/>
    <mergeCell ref="B351:B352"/>
    <mergeCell ref="D351:D352"/>
    <mergeCell ref="E351:E352"/>
    <mergeCell ref="F351:F352"/>
    <mergeCell ref="A77:A78"/>
    <mergeCell ref="B77:B78"/>
    <mergeCell ref="D77:D78"/>
    <mergeCell ref="E77:E78"/>
    <mergeCell ref="F77:F78"/>
    <mergeCell ref="A346:A347"/>
    <mergeCell ref="B346:B347"/>
    <mergeCell ref="D346:D347"/>
    <mergeCell ref="E346:E347"/>
    <mergeCell ref="F346:F347"/>
    <mergeCell ref="A348:A349"/>
    <mergeCell ref="B348:B349"/>
    <mergeCell ref="D348:D349"/>
    <mergeCell ref="E348:E349"/>
    <mergeCell ref="F348:F349"/>
    <mergeCell ref="A342:A343"/>
    <mergeCell ref="B342:B343"/>
    <mergeCell ref="D342:D343"/>
    <mergeCell ref="E342:E343"/>
    <mergeCell ref="F342:F343"/>
    <mergeCell ref="A344:A345"/>
    <mergeCell ref="B344:B345"/>
    <mergeCell ref="D344:D345"/>
    <mergeCell ref="E344:E345"/>
    <mergeCell ref="F344:F345"/>
    <mergeCell ref="A338:A339"/>
    <mergeCell ref="B338:B339"/>
    <mergeCell ref="D338:D339"/>
    <mergeCell ref="E338:E339"/>
    <mergeCell ref="F338:F339"/>
    <mergeCell ref="A340:A341"/>
    <mergeCell ref="B340:B341"/>
    <mergeCell ref="D340:D341"/>
    <mergeCell ref="E340:E341"/>
    <mergeCell ref="F340:F341"/>
    <mergeCell ref="A334:A335"/>
    <mergeCell ref="B334:B335"/>
    <mergeCell ref="D334:D335"/>
    <mergeCell ref="E334:E335"/>
    <mergeCell ref="F334:F335"/>
    <mergeCell ref="A336:A337"/>
    <mergeCell ref="B336:B337"/>
    <mergeCell ref="D336:D337"/>
    <mergeCell ref="E336:E337"/>
    <mergeCell ref="F336:F337"/>
    <mergeCell ref="A330:A331"/>
    <mergeCell ref="B330:B331"/>
    <mergeCell ref="D330:D331"/>
    <mergeCell ref="E330:E331"/>
    <mergeCell ref="F330:F331"/>
    <mergeCell ref="A332:A333"/>
    <mergeCell ref="B332:B333"/>
    <mergeCell ref="D332:D333"/>
    <mergeCell ref="E332:E333"/>
    <mergeCell ref="F332:F333"/>
    <mergeCell ref="A326:A327"/>
    <mergeCell ref="B326:B327"/>
    <mergeCell ref="D326:D327"/>
    <mergeCell ref="E326:E327"/>
    <mergeCell ref="F326:F327"/>
    <mergeCell ref="A328:A329"/>
    <mergeCell ref="B328:B329"/>
    <mergeCell ref="D328:D329"/>
    <mergeCell ref="E328:E329"/>
    <mergeCell ref="F328:F329"/>
    <mergeCell ref="A322:A323"/>
    <mergeCell ref="B322:B323"/>
    <mergeCell ref="D322:D323"/>
    <mergeCell ref="E322:E323"/>
    <mergeCell ref="F322:F323"/>
    <mergeCell ref="A324:A325"/>
    <mergeCell ref="B324:B325"/>
    <mergeCell ref="D324:D325"/>
    <mergeCell ref="E324:E325"/>
    <mergeCell ref="F324:F325"/>
    <mergeCell ref="A73:A75"/>
    <mergeCell ref="B73:B75"/>
    <mergeCell ref="D73:D75"/>
    <mergeCell ref="E73:E75"/>
    <mergeCell ref="F73:F75"/>
    <mergeCell ref="A318:A319"/>
    <mergeCell ref="B318:B319"/>
    <mergeCell ref="D318:D319"/>
    <mergeCell ref="E318:E319"/>
    <mergeCell ref="F318:F319"/>
    <mergeCell ref="A314:A315"/>
    <mergeCell ref="B314:B315"/>
    <mergeCell ref="D314:D315"/>
    <mergeCell ref="E314:E315"/>
    <mergeCell ref="F314:F315"/>
    <mergeCell ref="A316:A317"/>
    <mergeCell ref="B316:B317"/>
    <mergeCell ref="D316:D317"/>
    <mergeCell ref="E316:E317"/>
    <mergeCell ref="F316:F317"/>
    <mergeCell ref="A310:A311"/>
    <mergeCell ref="B310:B311"/>
    <mergeCell ref="D310:D311"/>
    <mergeCell ref="E310:E311"/>
    <mergeCell ref="F310:F311"/>
    <mergeCell ref="A312:A313"/>
    <mergeCell ref="B312:B313"/>
    <mergeCell ref="D312:D313"/>
    <mergeCell ref="E312:E313"/>
    <mergeCell ref="F312:F313"/>
    <mergeCell ref="A303:A304"/>
    <mergeCell ref="B303:B304"/>
    <mergeCell ref="F303:F304"/>
    <mergeCell ref="A306:A307"/>
    <mergeCell ref="B306:B307"/>
    <mergeCell ref="D306:D307"/>
    <mergeCell ref="E306:E307"/>
    <mergeCell ref="F306:F307"/>
    <mergeCell ref="A301:A302"/>
    <mergeCell ref="B301:B302"/>
    <mergeCell ref="D301:D302"/>
    <mergeCell ref="E301:E302"/>
    <mergeCell ref="F301:F302"/>
    <mergeCell ref="A308:A309"/>
    <mergeCell ref="B308:B309"/>
    <mergeCell ref="D308:D309"/>
    <mergeCell ref="E308:E309"/>
    <mergeCell ref="F308:F309"/>
    <mergeCell ref="A297:A298"/>
    <mergeCell ref="B297:B298"/>
    <mergeCell ref="D297:D298"/>
    <mergeCell ref="E297:E298"/>
    <mergeCell ref="F297:F298"/>
    <mergeCell ref="A299:A300"/>
    <mergeCell ref="B299:B300"/>
    <mergeCell ref="D299:D300"/>
    <mergeCell ref="E299:E300"/>
    <mergeCell ref="F299:F300"/>
    <mergeCell ref="A293:A294"/>
    <mergeCell ref="B293:B294"/>
    <mergeCell ref="D293:D294"/>
    <mergeCell ref="E293:E294"/>
    <mergeCell ref="F293:F294"/>
    <mergeCell ref="A295:A296"/>
    <mergeCell ref="B295:B296"/>
    <mergeCell ref="D295:D296"/>
    <mergeCell ref="E295:E296"/>
    <mergeCell ref="F295:F296"/>
    <mergeCell ref="A289:A290"/>
    <mergeCell ref="B289:B290"/>
    <mergeCell ref="D289:D290"/>
    <mergeCell ref="E289:E290"/>
    <mergeCell ref="F289:F290"/>
    <mergeCell ref="A291:A292"/>
    <mergeCell ref="B291:B292"/>
    <mergeCell ref="D291:D292"/>
    <mergeCell ref="E291:E292"/>
    <mergeCell ref="F291:F292"/>
    <mergeCell ref="A285:A286"/>
    <mergeCell ref="B285:B286"/>
    <mergeCell ref="D285:D286"/>
    <mergeCell ref="E285:E286"/>
    <mergeCell ref="F285:F286"/>
    <mergeCell ref="A287:A288"/>
    <mergeCell ref="B287:B288"/>
    <mergeCell ref="D287:D288"/>
    <mergeCell ref="E287:E288"/>
    <mergeCell ref="F287:F288"/>
    <mergeCell ref="A281:A282"/>
    <mergeCell ref="B281:B282"/>
    <mergeCell ref="D281:D282"/>
    <mergeCell ref="E281:E282"/>
    <mergeCell ref="F281:F282"/>
    <mergeCell ref="A283:A284"/>
    <mergeCell ref="B283:B284"/>
    <mergeCell ref="D283:D284"/>
    <mergeCell ref="E283:E284"/>
    <mergeCell ref="F283:F284"/>
    <mergeCell ref="A277:A278"/>
    <mergeCell ref="B277:B278"/>
    <mergeCell ref="D277:D278"/>
    <mergeCell ref="E277:E278"/>
    <mergeCell ref="F277:F278"/>
    <mergeCell ref="A279:A280"/>
    <mergeCell ref="B279:B280"/>
    <mergeCell ref="D279:D280"/>
    <mergeCell ref="E279:E280"/>
    <mergeCell ref="F279:F280"/>
    <mergeCell ref="A273:A274"/>
    <mergeCell ref="B273:B274"/>
    <mergeCell ref="D273:D274"/>
    <mergeCell ref="E273:E274"/>
    <mergeCell ref="F273:F274"/>
    <mergeCell ref="A275:A276"/>
    <mergeCell ref="B275:B276"/>
    <mergeCell ref="D275:D276"/>
    <mergeCell ref="E275:E276"/>
    <mergeCell ref="F275:F276"/>
    <mergeCell ref="A269:A270"/>
    <mergeCell ref="B269:B270"/>
    <mergeCell ref="D269:D270"/>
    <mergeCell ref="E269:E270"/>
    <mergeCell ref="F269:F270"/>
    <mergeCell ref="A271:A272"/>
    <mergeCell ref="B271:B272"/>
    <mergeCell ref="D271:D272"/>
    <mergeCell ref="E271:E272"/>
    <mergeCell ref="F271:F272"/>
    <mergeCell ref="A265:A266"/>
    <mergeCell ref="B265:B266"/>
    <mergeCell ref="D265:D266"/>
    <mergeCell ref="E265:E266"/>
    <mergeCell ref="F265:F266"/>
    <mergeCell ref="A267:A268"/>
    <mergeCell ref="B267:B268"/>
    <mergeCell ref="D267:D268"/>
    <mergeCell ref="E267:E268"/>
    <mergeCell ref="F267:F268"/>
    <mergeCell ref="A261:A262"/>
    <mergeCell ref="B261:B262"/>
    <mergeCell ref="D261:D262"/>
    <mergeCell ref="E261:E262"/>
    <mergeCell ref="F261:F262"/>
    <mergeCell ref="A263:A264"/>
    <mergeCell ref="B263:B264"/>
    <mergeCell ref="D263:D264"/>
    <mergeCell ref="E263:E264"/>
    <mergeCell ref="F263:F264"/>
    <mergeCell ref="A257:A258"/>
    <mergeCell ref="B257:B258"/>
    <mergeCell ref="D257:D258"/>
    <mergeCell ref="E257:E258"/>
    <mergeCell ref="F257:F258"/>
    <mergeCell ref="A259:A260"/>
    <mergeCell ref="B259:B260"/>
    <mergeCell ref="D259:D260"/>
    <mergeCell ref="E259:E260"/>
    <mergeCell ref="F259:F260"/>
    <mergeCell ref="A253:A254"/>
    <mergeCell ref="B253:B254"/>
    <mergeCell ref="D253:D254"/>
    <mergeCell ref="E253:E254"/>
    <mergeCell ref="F253:F254"/>
    <mergeCell ref="A255:A256"/>
    <mergeCell ref="B255:B256"/>
    <mergeCell ref="D255:D256"/>
    <mergeCell ref="E255:E256"/>
    <mergeCell ref="F255:F256"/>
    <mergeCell ref="A249:A250"/>
    <mergeCell ref="B249:B250"/>
    <mergeCell ref="D249:D250"/>
    <mergeCell ref="E249:E250"/>
    <mergeCell ref="F249:F250"/>
    <mergeCell ref="A251:A252"/>
    <mergeCell ref="B251:B252"/>
    <mergeCell ref="D251:D252"/>
    <mergeCell ref="E251:E252"/>
    <mergeCell ref="F251:F252"/>
    <mergeCell ref="A245:A246"/>
    <mergeCell ref="B245:B246"/>
    <mergeCell ref="D245:D246"/>
    <mergeCell ref="E245:E246"/>
    <mergeCell ref="F245:F246"/>
    <mergeCell ref="A247:A248"/>
    <mergeCell ref="B247:B248"/>
    <mergeCell ref="D247:D248"/>
    <mergeCell ref="E247:E248"/>
    <mergeCell ref="F247:F248"/>
    <mergeCell ref="A241:A242"/>
    <mergeCell ref="B241:B242"/>
    <mergeCell ref="D241:D242"/>
    <mergeCell ref="E241:E242"/>
    <mergeCell ref="F241:F242"/>
    <mergeCell ref="A243:A244"/>
    <mergeCell ref="B243:B244"/>
    <mergeCell ref="D243:D244"/>
    <mergeCell ref="E243:E244"/>
    <mergeCell ref="F243:F244"/>
    <mergeCell ref="A237:A238"/>
    <mergeCell ref="B237:B238"/>
    <mergeCell ref="D237:D238"/>
    <mergeCell ref="E237:E238"/>
    <mergeCell ref="F237:F238"/>
    <mergeCell ref="A239:A240"/>
    <mergeCell ref="B239:B240"/>
    <mergeCell ref="D239:D240"/>
    <mergeCell ref="E239:E240"/>
    <mergeCell ref="F239:F240"/>
    <mergeCell ref="A233:A234"/>
    <mergeCell ref="B233:B234"/>
    <mergeCell ref="D233:D234"/>
    <mergeCell ref="E233:E234"/>
    <mergeCell ref="F233:F234"/>
    <mergeCell ref="A235:A236"/>
    <mergeCell ref="B235:B236"/>
    <mergeCell ref="D235:D236"/>
    <mergeCell ref="E235:E236"/>
    <mergeCell ref="F235:F236"/>
    <mergeCell ref="A229:A230"/>
    <mergeCell ref="B229:B230"/>
    <mergeCell ref="D229:D230"/>
    <mergeCell ref="E229:E230"/>
    <mergeCell ref="F229:F230"/>
    <mergeCell ref="A231:A232"/>
    <mergeCell ref="B231:B232"/>
    <mergeCell ref="D231:D232"/>
    <mergeCell ref="E231:E232"/>
    <mergeCell ref="F231:F232"/>
    <mergeCell ref="A225:A226"/>
    <mergeCell ref="B225:B226"/>
    <mergeCell ref="D225:D226"/>
    <mergeCell ref="E225:E226"/>
    <mergeCell ref="F225:F226"/>
    <mergeCell ref="A227:A228"/>
    <mergeCell ref="B227:B228"/>
    <mergeCell ref="D227:D228"/>
    <mergeCell ref="E227:E228"/>
    <mergeCell ref="F227:F228"/>
    <mergeCell ref="A221:A222"/>
    <mergeCell ref="B221:B222"/>
    <mergeCell ref="D221:D222"/>
    <mergeCell ref="E221:E222"/>
    <mergeCell ref="F221:F222"/>
    <mergeCell ref="A223:A224"/>
    <mergeCell ref="B223:B224"/>
    <mergeCell ref="D223:D224"/>
    <mergeCell ref="E223:E224"/>
    <mergeCell ref="F223:F224"/>
    <mergeCell ref="A217:A218"/>
    <mergeCell ref="B217:B218"/>
    <mergeCell ref="D217:D218"/>
    <mergeCell ref="E217:E218"/>
    <mergeCell ref="F217:F218"/>
    <mergeCell ref="A219:A220"/>
    <mergeCell ref="B219:B220"/>
    <mergeCell ref="D219:D220"/>
    <mergeCell ref="E219:E220"/>
    <mergeCell ref="F219:F220"/>
    <mergeCell ref="A213:A214"/>
    <mergeCell ref="B213:B214"/>
    <mergeCell ref="D213:D214"/>
    <mergeCell ref="E213:E214"/>
    <mergeCell ref="F213:F214"/>
    <mergeCell ref="A215:A216"/>
    <mergeCell ref="B215:B216"/>
    <mergeCell ref="D215:D216"/>
    <mergeCell ref="E215:E216"/>
    <mergeCell ref="F215:F216"/>
    <mergeCell ref="A209:A210"/>
    <mergeCell ref="B209:B210"/>
    <mergeCell ref="D209:D210"/>
    <mergeCell ref="E209:E210"/>
    <mergeCell ref="F209:F210"/>
    <mergeCell ref="A211:A212"/>
    <mergeCell ref="B211:B212"/>
    <mergeCell ref="D211:D212"/>
    <mergeCell ref="E211:E212"/>
    <mergeCell ref="F211:F212"/>
    <mergeCell ref="A205:A206"/>
    <mergeCell ref="B205:B206"/>
    <mergeCell ref="D205:D206"/>
    <mergeCell ref="E205:E206"/>
    <mergeCell ref="F205:F206"/>
    <mergeCell ref="A207:A208"/>
    <mergeCell ref="B207:B208"/>
    <mergeCell ref="D207:D208"/>
    <mergeCell ref="E207:E208"/>
    <mergeCell ref="F207:F208"/>
    <mergeCell ref="A201:A202"/>
    <mergeCell ref="B201:B202"/>
    <mergeCell ref="D201:D202"/>
    <mergeCell ref="E201:E202"/>
    <mergeCell ref="F201:F202"/>
    <mergeCell ref="A203:A204"/>
    <mergeCell ref="B203:B204"/>
    <mergeCell ref="D203:D204"/>
    <mergeCell ref="E203:E204"/>
    <mergeCell ref="F203:F204"/>
    <mergeCell ref="F197:F198"/>
    <mergeCell ref="A199:A200"/>
    <mergeCell ref="B199:B200"/>
    <mergeCell ref="D199:D200"/>
    <mergeCell ref="E199:E200"/>
    <mergeCell ref="F199:F200"/>
    <mergeCell ref="A195:A196"/>
    <mergeCell ref="B195:B196"/>
    <mergeCell ref="D195:D196"/>
    <mergeCell ref="E195:E196"/>
    <mergeCell ref="F195:F196"/>
    <mergeCell ref="A197:A198"/>
    <mergeCell ref="B197:B198"/>
    <mergeCell ref="D197:D198"/>
    <mergeCell ref="E197:E198"/>
    <mergeCell ref="A191:A192"/>
    <mergeCell ref="B191:B192"/>
    <mergeCell ref="D191:D192"/>
    <mergeCell ref="E191:E192"/>
    <mergeCell ref="F191:F192"/>
    <mergeCell ref="A193:A194"/>
    <mergeCell ref="B193:B194"/>
    <mergeCell ref="D193:D194"/>
    <mergeCell ref="E193:E194"/>
    <mergeCell ref="F193:F194"/>
    <mergeCell ref="A187:A188"/>
    <mergeCell ref="B187:B188"/>
    <mergeCell ref="D187:D188"/>
    <mergeCell ref="E187:E188"/>
    <mergeCell ref="F187:F188"/>
    <mergeCell ref="A189:A190"/>
    <mergeCell ref="B189:B190"/>
    <mergeCell ref="D189:D190"/>
    <mergeCell ref="E189:E190"/>
    <mergeCell ref="F189:F190"/>
    <mergeCell ref="A183:A184"/>
    <mergeCell ref="B183:B184"/>
    <mergeCell ref="D183:D184"/>
    <mergeCell ref="E183:E184"/>
    <mergeCell ref="F183:F184"/>
    <mergeCell ref="A185:A186"/>
    <mergeCell ref="B185:B186"/>
    <mergeCell ref="D185:D186"/>
    <mergeCell ref="E185:E186"/>
    <mergeCell ref="F185:F186"/>
    <mergeCell ref="A179:A180"/>
    <mergeCell ref="B179:B180"/>
    <mergeCell ref="D179:D180"/>
    <mergeCell ref="E179:E180"/>
    <mergeCell ref="F179:F180"/>
    <mergeCell ref="A181:A182"/>
    <mergeCell ref="B181:B182"/>
    <mergeCell ref="D181:D182"/>
    <mergeCell ref="E181:E182"/>
    <mergeCell ref="F181:F182"/>
    <mergeCell ref="A175:A176"/>
    <mergeCell ref="B175:B176"/>
    <mergeCell ref="D175:D176"/>
    <mergeCell ref="E175:E176"/>
    <mergeCell ref="F175:F176"/>
    <mergeCell ref="A177:A178"/>
    <mergeCell ref="B177:B178"/>
    <mergeCell ref="D177:D178"/>
    <mergeCell ref="E177:E178"/>
    <mergeCell ref="F177:F178"/>
    <mergeCell ref="A171:A172"/>
    <mergeCell ref="B171:B172"/>
    <mergeCell ref="D171:D172"/>
    <mergeCell ref="E171:E172"/>
    <mergeCell ref="F171:F172"/>
    <mergeCell ref="A173:A174"/>
    <mergeCell ref="B173:B174"/>
    <mergeCell ref="D173:D174"/>
    <mergeCell ref="E173:E174"/>
    <mergeCell ref="F173:F174"/>
    <mergeCell ref="A167:A168"/>
    <mergeCell ref="B167:B168"/>
    <mergeCell ref="D167:D168"/>
    <mergeCell ref="E167:E168"/>
    <mergeCell ref="F167:F168"/>
    <mergeCell ref="A169:A170"/>
    <mergeCell ref="B169:B170"/>
    <mergeCell ref="D169:D170"/>
    <mergeCell ref="E169:E170"/>
    <mergeCell ref="F169:F170"/>
    <mergeCell ref="A163:A164"/>
    <mergeCell ref="B163:B164"/>
    <mergeCell ref="D163:D164"/>
    <mergeCell ref="E163:E164"/>
    <mergeCell ref="F163:F164"/>
    <mergeCell ref="A165:A166"/>
    <mergeCell ref="B165:B166"/>
    <mergeCell ref="D165:D166"/>
    <mergeCell ref="E165:E166"/>
    <mergeCell ref="F165:F166"/>
    <mergeCell ref="A159:A160"/>
    <mergeCell ref="B159:B160"/>
    <mergeCell ref="D159:D160"/>
    <mergeCell ref="E159:E160"/>
    <mergeCell ref="F159:F160"/>
    <mergeCell ref="A161:A162"/>
    <mergeCell ref="B161:B162"/>
    <mergeCell ref="D161:D162"/>
    <mergeCell ref="E161:E162"/>
    <mergeCell ref="F161:F162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51:A152"/>
    <mergeCell ref="B151:B152"/>
    <mergeCell ref="D151:D152"/>
    <mergeCell ref="E151:E152"/>
    <mergeCell ref="F151:F152"/>
    <mergeCell ref="A153:A154"/>
    <mergeCell ref="B153:B154"/>
    <mergeCell ref="D153:D154"/>
    <mergeCell ref="E153:E154"/>
    <mergeCell ref="F153:F154"/>
    <mergeCell ref="A147:A148"/>
    <mergeCell ref="B147:B148"/>
    <mergeCell ref="D147:D148"/>
    <mergeCell ref="E147:E148"/>
    <mergeCell ref="F147:F148"/>
    <mergeCell ref="A149:A150"/>
    <mergeCell ref="B149:B150"/>
    <mergeCell ref="D149:D150"/>
    <mergeCell ref="E149:E150"/>
    <mergeCell ref="F149:F150"/>
    <mergeCell ref="A143:A144"/>
    <mergeCell ref="B143:B144"/>
    <mergeCell ref="D143:D144"/>
    <mergeCell ref="E143:E144"/>
    <mergeCell ref="F143:F144"/>
    <mergeCell ref="A145:A146"/>
    <mergeCell ref="B145:B146"/>
    <mergeCell ref="D145:D146"/>
    <mergeCell ref="E145:E146"/>
    <mergeCell ref="F145:F146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34:A135"/>
    <mergeCell ref="B134:B135"/>
    <mergeCell ref="F134:F135"/>
    <mergeCell ref="D134:D135"/>
    <mergeCell ref="E134:E135"/>
    <mergeCell ref="A137:A138"/>
    <mergeCell ref="B137:B138"/>
    <mergeCell ref="D137:D138"/>
    <mergeCell ref="E137:E138"/>
    <mergeCell ref="F137:F138"/>
    <mergeCell ref="A127:A128"/>
    <mergeCell ref="B127:B128"/>
    <mergeCell ref="D127:D128"/>
    <mergeCell ref="E127:E128"/>
    <mergeCell ref="F127:F128"/>
    <mergeCell ref="A129:A130"/>
    <mergeCell ref="B129:B130"/>
    <mergeCell ref="D129:D130"/>
    <mergeCell ref="E129:E130"/>
    <mergeCell ref="F129:F130"/>
    <mergeCell ref="B123:B124"/>
    <mergeCell ref="D123:D124"/>
    <mergeCell ref="E123:E124"/>
    <mergeCell ref="F123:F124"/>
    <mergeCell ref="A125:A126"/>
    <mergeCell ref="B125:B126"/>
    <mergeCell ref="D125:D126"/>
    <mergeCell ref="E125:E126"/>
    <mergeCell ref="F125:F126"/>
    <mergeCell ref="F85:F86"/>
    <mergeCell ref="A118:A119"/>
    <mergeCell ref="B118:B119"/>
    <mergeCell ref="D118:D119"/>
    <mergeCell ref="E118:E119"/>
    <mergeCell ref="F118:F119"/>
    <mergeCell ref="B104:B105"/>
    <mergeCell ref="B107:B108"/>
    <mergeCell ref="A107:A108"/>
    <mergeCell ref="D107:D108"/>
    <mergeCell ref="A382:F382"/>
    <mergeCell ref="A15:A16"/>
    <mergeCell ref="B15:B16"/>
    <mergeCell ref="F15:F16"/>
    <mergeCell ref="A87:A88"/>
    <mergeCell ref="B87:B88"/>
    <mergeCell ref="D87:D88"/>
    <mergeCell ref="E87:E88"/>
    <mergeCell ref="D15:D16"/>
    <mergeCell ref="E15:E16"/>
    <mergeCell ref="H104:H105"/>
    <mergeCell ref="G28:G29"/>
    <mergeCell ref="H28:H29"/>
    <mergeCell ref="H13:H14"/>
    <mergeCell ref="H20:H24"/>
    <mergeCell ref="T7:T11"/>
    <mergeCell ref="G7:G11"/>
    <mergeCell ref="H34:H37"/>
    <mergeCell ref="H44:H46"/>
    <mergeCell ref="H98:H99"/>
    <mergeCell ref="E44:E46"/>
    <mergeCell ref="D57:D59"/>
    <mergeCell ref="A54:A56"/>
    <mergeCell ref="B51:B53"/>
    <mergeCell ref="D51:D53"/>
    <mergeCell ref="E51:E53"/>
    <mergeCell ref="D47:D49"/>
    <mergeCell ref="E47:E49"/>
    <mergeCell ref="A57:A59"/>
    <mergeCell ref="E57:E59"/>
    <mergeCell ref="F30:F31"/>
    <mergeCell ref="G30:G31"/>
    <mergeCell ref="G34:G37"/>
    <mergeCell ref="G57:G59"/>
    <mergeCell ref="A7:A11"/>
    <mergeCell ref="F7:F11"/>
    <mergeCell ref="D7:D11"/>
    <mergeCell ref="C7:C11"/>
    <mergeCell ref="B13:B14"/>
    <mergeCell ref="A25:A27"/>
    <mergeCell ref="B25:B27"/>
    <mergeCell ref="B28:B29"/>
    <mergeCell ref="D28:D29"/>
    <mergeCell ref="E28:E29"/>
    <mergeCell ref="A30:A31"/>
    <mergeCell ref="G25:G26"/>
    <mergeCell ref="D25:D27"/>
    <mergeCell ref="E25:E27"/>
    <mergeCell ref="F25:F27"/>
    <mergeCell ref="A28:A29"/>
    <mergeCell ref="A380:I380"/>
    <mergeCell ref="A34:A37"/>
    <mergeCell ref="B30:B31"/>
    <mergeCell ref="G47:G49"/>
    <mergeCell ref="G44:G46"/>
    <mergeCell ref="A32:A33"/>
    <mergeCell ref="E34:E37"/>
    <mergeCell ref="A51:A53"/>
    <mergeCell ref="A44:A46"/>
    <mergeCell ref="D44:D46"/>
    <mergeCell ref="E13:E14"/>
    <mergeCell ref="D20:D24"/>
    <mergeCell ref="A13:A14"/>
    <mergeCell ref="B20:B24"/>
    <mergeCell ref="F20:F24"/>
    <mergeCell ref="A20:A24"/>
    <mergeCell ref="D13:D14"/>
    <mergeCell ref="E20:E24"/>
    <mergeCell ref="D32:D33"/>
    <mergeCell ref="D30:D31"/>
    <mergeCell ref="E30:E31"/>
    <mergeCell ref="A6:I6"/>
    <mergeCell ref="V1:W1"/>
    <mergeCell ref="V2:W2"/>
    <mergeCell ref="A3:I3"/>
    <mergeCell ref="A4:I4"/>
    <mergeCell ref="H7:H11"/>
    <mergeCell ref="A5:Y5"/>
    <mergeCell ref="B7:B11"/>
    <mergeCell ref="AA4:AE4"/>
    <mergeCell ref="G20:G24"/>
    <mergeCell ref="F13:F14"/>
    <mergeCell ref="H30:H31"/>
    <mergeCell ref="E7:E11"/>
    <mergeCell ref="G13:G14"/>
    <mergeCell ref="H25:H27"/>
    <mergeCell ref="F28:F29"/>
    <mergeCell ref="U7:AE10"/>
    <mergeCell ref="F47:F49"/>
    <mergeCell ref="B32:B33"/>
    <mergeCell ref="A47:A49"/>
    <mergeCell ref="F34:F37"/>
    <mergeCell ref="D34:D37"/>
    <mergeCell ref="B44:B46"/>
    <mergeCell ref="B34:B37"/>
    <mergeCell ref="B47:B49"/>
    <mergeCell ref="F44:F46"/>
    <mergeCell ref="E32:E33"/>
    <mergeCell ref="H100:H101"/>
    <mergeCell ref="E98:E99"/>
    <mergeCell ref="D100:D101"/>
    <mergeCell ref="E100:E101"/>
    <mergeCell ref="F98:F99"/>
    <mergeCell ref="G98:G99"/>
    <mergeCell ref="F100:F101"/>
    <mergeCell ref="G100:G101"/>
    <mergeCell ref="D98:D99"/>
    <mergeCell ref="F320:F321"/>
    <mergeCell ref="A379:G379"/>
    <mergeCell ref="B98:B99"/>
    <mergeCell ref="A95:A97"/>
    <mergeCell ref="B95:B97"/>
    <mergeCell ref="A98:A99"/>
    <mergeCell ref="A100:A101"/>
    <mergeCell ref="B100:B101"/>
    <mergeCell ref="D95:D97"/>
    <mergeCell ref="E95:E97"/>
    <mergeCell ref="A62:A69"/>
    <mergeCell ref="B62:B69"/>
    <mergeCell ref="A320:A321"/>
    <mergeCell ref="B320:B321"/>
    <mergeCell ref="D320:D321"/>
    <mergeCell ref="E320:E321"/>
    <mergeCell ref="A104:A105"/>
    <mergeCell ref="D62:D69"/>
    <mergeCell ref="E62:E69"/>
    <mergeCell ref="A123:A124"/>
    <mergeCell ref="H62:H69"/>
    <mergeCell ref="G62:G69"/>
    <mergeCell ref="F57:F59"/>
    <mergeCell ref="H57:H59"/>
    <mergeCell ref="G51:G53"/>
    <mergeCell ref="H73:H74"/>
    <mergeCell ref="F51:F53"/>
    <mergeCell ref="H54:H56"/>
    <mergeCell ref="H95:H97"/>
    <mergeCell ref="F95:F97"/>
    <mergeCell ref="A79:A84"/>
    <mergeCell ref="G73:G74"/>
    <mergeCell ref="B79:B84"/>
    <mergeCell ref="D79:D84"/>
    <mergeCell ref="E79:E84"/>
    <mergeCell ref="G95:G97"/>
    <mergeCell ref="H81:H83"/>
    <mergeCell ref="F87:F88"/>
    <mergeCell ref="G81:G83"/>
    <mergeCell ref="B57:B59"/>
    <mergeCell ref="B54:B56"/>
    <mergeCell ref="D54:D56"/>
    <mergeCell ref="E54:E56"/>
    <mergeCell ref="F54:F56"/>
    <mergeCell ref="F62:F69"/>
    <mergeCell ref="E107:E108"/>
    <mergeCell ref="I7:S10"/>
    <mergeCell ref="A85:A86"/>
    <mergeCell ref="B85:B86"/>
    <mergeCell ref="D85:D86"/>
    <mergeCell ref="E85:E86"/>
    <mergeCell ref="G54:G56"/>
    <mergeCell ref="H51:H53"/>
    <mergeCell ref="H47:H49"/>
    <mergeCell ref="F79:F84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aksinenko</cp:lastModifiedBy>
  <cp:lastPrinted>2019-07-09T07:34:54Z</cp:lastPrinted>
  <dcterms:created xsi:type="dcterms:W3CDTF">1996-10-08T23:32:33Z</dcterms:created>
  <dcterms:modified xsi:type="dcterms:W3CDTF">2019-12-24T08:24:27Z</dcterms:modified>
  <cp:category/>
  <cp:version/>
  <cp:contentType/>
  <cp:contentStatus/>
</cp:coreProperties>
</file>