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 refMode="R1C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5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2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7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7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<sst xmlns="http://schemas.openxmlformats.org/spreadsheetml/2006/main" count="530" uniqueCount="126">
  <si>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</si>
  <si>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</si>
  <si>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</si>
  <si>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</si>
  <si>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</si>
  <si>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</si>
  <si>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</si>
  <si>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</si>
  <si>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</si>
  <si>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</si>
  <si>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</si>
  <si>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</si>
  <si>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</si>
  <si>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</si>
  <si>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</si>
  <si>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</si>
  <si>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</si>
  <si>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</si>
  <si>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</si>
  <si>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</si>
  <si>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</si>
  <si>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</si>
  <si>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</si>
  <si>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</si>
  <si>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</si>
  <si>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</si>
  <si>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</si>
  <si>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</si>
  <si>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</si>
  <si>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</si>
  <si>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</si>
  <si>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</si>
  <si>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</si>
  <si>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</si>
  <si>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</si>
  <si>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</si>
  <si>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</si>
  <si>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</si>
  <si>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</si>
  <si>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</si>
  <si>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</si>
  <si>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</si>
  <si>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</si>
  <si>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</si>
  <si>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</si>
  <si>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</si>
  <si>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</si>
  <si>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</si>
  <si>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</si>
  <si>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</si>
  <si>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</si>
  <si>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</si>
  <si>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</si>
  <si>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</si>
  <si>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</si>
  <si>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</si>
  <si>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</si>
  <si>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</si>
  <si>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</si>
  <si>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</si>
  <si>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</si>
  <si>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</si>
  <si>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</si>
  <si>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</si>
  <si>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</si>
  <si>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</si>
  <si>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</si>
  <si>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</si>
  <si>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</si>
  <si>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</si>
  <si>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</si>
  <si>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</si>
  <si>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</si>
  <si>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</si>
  <si>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</si>
  <si>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</si>
  <si>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</si>
  <si>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</si>
  <si>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</si>
  <si>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</si>
  <si>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</si>
  <si>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</si>
  <si>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</si>
  <si>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</si>
  <si>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</si>
  <si>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</si>
  <si>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</si>
  <si>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</si>
  <si>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</si>
  <si>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</si>
  <si>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</si>
  <si>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</si>
  <si>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</si>
  <si>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</si>
  <si>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</si>
  <si>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</si>
  <si>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</si>
  <si>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</si>
  <si>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</si>
  <si>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</si>
  <si>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</si>
  <si>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</si>
  <si>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</si>
  <si>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</si>
  <si>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</si>
  <si>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</si>
  <si>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</si>
  <si>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</si>
  <si>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</si>
  <si>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</si>
  <si>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</si>
  <si>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</si>
  <si>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</si>
  <si>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</si>
  <si>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</si>
  <si>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</si>
  <si>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</si>
  <si>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</si>
  <si>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  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       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</si>
  <si>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</si>
  <si>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03102S0400, 0310240530, 03102S0670, 0310240670, 0310240400,     0310240690, 03102L5190                КВР 611,612, 621, 622</t>
  </si>
  <si>
    <t>КЦСР 0310200590,  03102L5190            КВР 622, 621,  612,611</t>
  </si>
  <si>
    <t>08 01(без район и без 161,2)</t>
  </si>
  <si>
    <t>с 01.01.2019 мероприятия реализуются в рамках мероприятия 1.3.1. Предоставление дополнительного образования</t>
  </si>
  <si>
    <t xml:space="preserve">Приложение 3 к постановлению
администрации Города Томска от    №
</t>
  </si>
  <si>
    <t>администрации Города Томска от 27.03.2019 № 252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</si>
</sst>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6" fontId="0" fillId="0" borderId="0" xfId="0" applyNumberForma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2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5" customWidth="1"/>
    <col min="2" max="2" width="19.375" style="24" customWidth="1"/>
    <col min="3" max="3" width="14.75390625" style="42" customWidth="1"/>
    <col min="4" max="4" width="9.00390625" style="42" customWidth="1"/>
    <col min="5" max="5" width="11.50390625" style="13" customWidth="1"/>
    <col min="6" max="6" width="11.25390625" style="13" customWidth="1"/>
    <col min="7" max="7" width="11.00390625" style="42" customWidth="1"/>
    <col min="8" max="9" width="11.75390625" style="42" customWidth="1"/>
    <col min="10" max="10" width="6.375" style="42" customWidth="1"/>
    <col min="11" max="11" width="10.75390625" style="42" customWidth="1"/>
    <col min="12" max="13" width="9.875" style="42" customWidth="1"/>
    <col min="14" max="14" width="9.625" style="42" customWidth="1"/>
    <col min="15" max="15" width="8.75390625" style="26" customWidth="1"/>
    <col min="16" max="16" width="1.37890625" style="5" hidden="1" customWidth="1"/>
    <col min="17" max="17" width="24.50390625" style="5" hidden="1" customWidth="1"/>
    <col min="18" max="18" width="14.125" style="5" hidden="1" customWidth="1"/>
    <col min="19" max="19" width="9.75390625" style="5" hidden="1" customWidth="1"/>
    <col min="20" max="22" width="7.50390625" style="5" hidden="1" customWidth="1"/>
    <col min="23" max="23" width="10.125" style="5" bestFit="1" customWidth="1"/>
    <col min="24" max="24" width="7.25390625" style="5" bestFit="1" customWidth="1"/>
    <col min="25" max="25" width="8.00390625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99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>
      <c r="A2" s="100" t="s">
        <v>125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.75">
      <c r="A3" s="28"/>
      <c r="L3" s="101" t="s">
        <v>104</v>
      </c>
      <c r="M3" s="101"/>
      <c r="N3" s="101"/>
      <c r="O3" s="101"/>
    </row>
    <row r="4" spans="1:15" ht="15.75">
      <c r="A4" s="28"/>
      <c r="L4" s="101"/>
      <c r="M4" s="101"/>
      <c r="N4" s="101"/>
      <c r="O4" s="101"/>
    </row>
    <row r="5" spans="1:15" ht="15.75">
      <c r="A5" s="28"/>
      <c r="L5" s="101"/>
      <c r="M5" s="101"/>
      <c r="N5" s="101"/>
      <c r="O5" s="101"/>
    </row>
    <row r="6" spans="1:15" ht="42.75" customHeight="1">
      <c r="A6" s="28"/>
      <c r="L6" s="101"/>
      <c r="M6" s="101"/>
      <c r="N6" s="101"/>
      <c r="O6" s="101"/>
    </row>
    <row r="7" ht="15.75">
      <c r="A7" s="29"/>
    </row>
    <row r="8" spans="1:15" ht="15.75">
      <c r="A8" s="98" t="s">
        <v>47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ht="15.75">
      <c r="A9" s="29"/>
    </row>
    <row r="10" ht="15.75" hidden="1">
      <c r="A10" s="29"/>
    </row>
    <row r="11" ht="15.75">
      <c r="A11" s="29"/>
    </row>
    <row r="12" spans="1:15" ht="15.75">
      <c r="A12" s="74" t="s">
        <v>0</v>
      </c>
      <c r="B12" s="59" t="s">
        <v>93</v>
      </c>
      <c r="C12" s="59" t="s">
        <v>54</v>
      </c>
      <c r="D12" s="74" t="s">
        <v>1</v>
      </c>
      <c r="E12" s="70" t="s">
        <v>32</v>
      </c>
      <c r="F12" s="70"/>
      <c r="G12" s="74" t="s">
        <v>2</v>
      </c>
      <c r="H12" s="74"/>
      <c r="I12" s="74"/>
      <c r="J12" s="74"/>
      <c r="K12" s="74"/>
      <c r="L12" s="74"/>
      <c r="M12" s="74"/>
      <c r="N12" s="74"/>
      <c r="O12" s="74" t="s">
        <v>3</v>
      </c>
    </row>
    <row r="13" spans="1:16" ht="43.5" customHeight="1">
      <c r="A13" s="74"/>
      <c r="B13" s="60"/>
      <c r="C13" s="60"/>
      <c r="D13" s="74"/>
      <c r="E13" s="70"/>
      <c r="F13" s="70"/>
      <c r="G13" s="74" t="s">
        <v>4</v>
      </c>
      <c r="H13" s="74"/>
      <c r="I13" s="74" t="s">
        <v>5</v>
      </c>
      <c r="J13" s="74"/>
      <c r="K13" s="74" t="s">
        <v>6</v>
      </c>
      <c r="L13" s="74"/>
      <c r="M13" s="74" t="s">
        <v>7</v>
      </c>
      <c r="N13" s="74"/>
      <c r="O13" s="74"/>
      <c r="P13" s="30"/>
    </row>
    <row r="14" spans="1:16" ht="91.5" customHeight="1">
      <c r="A14" s="74"/>
      <c r="B14" s="87"/>
      <c r="C14" s="87"/>
      <c r="D14" s="74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66</v>
      </c>
      <c r="O14" s="1"/>
      <c r="P14" s="30"/>
    </row>
    <row r="15" spans="1:16" s="28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1"/>
    </row>
    <row r="16" spans="1:16" s="42" customFormat="1" ht="15.75">
      <c r="A16" s="58" t="s">
        <v>42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32"/>
    </row>
    <row r="17" spans="1:16" ht="1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30"/>
    </row>
    <row r="18" spans="1:16" ht="16.5" customHeight="1" hidden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30"/>
    </row>
    <row r="19" spans="1:16" ht="16.5" customHeight="1">
      <c r="A19" s="49"/>
      <c r="B19" s="71" t="s">
        <v>98</v>
      </c>
      <c r="C19" s="13"/>
      <c r="D19" s="10" t="s">
        <v>11</v>
      </c>
      <c r="E19" s="2">
        <f>SUM(E20:E30)</f>
        <v>3137253.6459999993</v>
      </c>
      <c r="F19" s="2">
        <f aca="true" t="shared" si="0" ref="F19:N19">SUM(F20:F30)</f>
        <v>1706987.9359999998</v>
      </c>
      <c r="G19" s="2">
        <f t="shared" si="0"/>
        <v>1884280.5499999996</v>
      </c>
      <c r="H19" s="2">
        <f t="shared" si="0"/>
        <v>1238918.54</v>
      </c>
      <c r="I19" s="2">
        <f t="shared" si="0"/>
        <v>2676.3</v>
      </c>
      <c r="J19" s="2">
        <f t="shared" si="0"/>
        <v>518.5</v>
      </c>
      <c r="K19" s="2">
        <f t="shared" si="0"/>
        <v>945761.396</v>
      </c>
      <c r="L19" s="2">
        <f t="shared" si="0"/>
        <v>253274.696</v>
      </c>
      <c r="M19" s="2">
        <f t="shared" si="0"/>
        <v>304535.3999999999</v>
      </c>
      <c r="N19" s="2">
        <f t="shared" si="0"/>
        <v>214276.19999999995</v>
      </c>
      <c r="O19" s="64" t="s">
        <v>105</v>
      </c>
      <c r="P19" s="30"/>
    </row>
    <row r="20" spans="1:32" s="12" customFormat="1" ht="15.75" customHeight="1">
      <c r="A20" s="50"/>
      <c r="B20" s="72"/>
      <c r="D20" s="10" t="s">
        <v>12</v>
      </c>
      <c r="E20" s="2">
        <f aca="true" t="shared" si="1" ref="E20:E30">G20+I20+K20+M20</f>
        <v>243155.5</v>
      </c>
      <c r="F20" s="2">
        <f aca="true" t="shared" si="2" ref="F20:F30">H20+J20+L20+N20</f>
        <v>207312.2</v>
      </c>
      <c r="G20" s="2">
        <f aca="true" t="shared" si="3" ref="G20:N22">G44+G106+G237</f>
        <v>170316.8</v>
      </c>
      <c r="H20" s="2">
        <f t="shared" si="3"/>
        <v>138477.5</v>
      </c>
      <c r="I20" s="2">
        <f t="shared" si="3"/>
        <v>725</v>
      </c>
      <c r="J20" s="2">
        <f t="shared" si="3"/>
        <v>0</v>
      </c>
      <c r="K20" s="2">
        <f t="shared" si="3"/>
        <v>42070</v>
      </c>
      <c r="L20" s="2">
        <f t="shared" si="3"/>
        <v>38791</v>
      </c>
      <c r="M20" s="2">
        <f t="shared" si="3"/>
        <v>30043.699999999997</v>
      </c>
      <c r="N20" s="2">
        <f t="shared" si="3"/>
        <v>30043.699999999997</v>
      </c>
      <c r="O20" s="67"/>
      <c r="P20" s="33"/>
      <c r="AF20" s="36"/>
    </row>
    <row r="21" spans="1:16" s="12" customFormat="1" ht="15.75" customHeight="1">
      <c r="A21" s="50"/>
      <c r="B21" s="72"/>
      <c r="C21" s="70" t="s">
        <v>61</v>
      </c>
      <c r="D21" s="10" t="s">
        <v>13</v>
      </c>
      <c r="E21" s="2">
        <f t="shared" si="1"/>
        <v>234210.14999999997</v>
      </c>
      <c r="F21" s="2">
        <f t="shared" si="2"/>
        <v>219554.24</v>
      </c>
      <c r="G21" s="2">
        <f t="shared" si="3"/>
        <v>156692.44999999998</v>
      </c>
      <c r="H21" s="2">
        <f t="shared" si="3"/>
        <v>146006.53999999998</v>
      </c>
      <c r="I21" s="2">
        <f t="shared" si="3"/>
        <v>797.5</v>
      </c>
      <c r="J21" s="2">
        <f t="shared" si="3"/>
        <v>0</v>
      </c>
      <c r="K21" s="2">
        <f t="shared" si="3"/>
        <v>40827.4</v>
      </c>
      <c r="L21" s="2">
        <f t="shared" si="3"/>
        <v>37654.9</v>
      </c>
      <c r="M21" s="2">
        <f t="shared" si="3"/>
        <v>35892.8</v>
      </c>
      <c r="N21" s="2">
        <f t="shared" si="3"/>
        <v>35892.8</v>
      </c>
      <c r="O21" s="67"/>
      <c r="P21" s="4"/>
    </row>
    <row r="22" spans="1:26" s="12" customFormat="1" ht="15" customHeight="1">
      <c r="A22" s="50"/>
      <c r="B22" s="72"/>
      <c r="C22" s="70"/>
      <c r="D22" s="10" t="s">
        <v>14</v>
      </c>
      <c r="E22" s="2">
        <f t="shared" si="1"/>
        <v>278338.596</v>
      </c>
      <c r="F22" s="2">
        <f t="shared" si="2"/>
        <v>270093.196</v>
      </c>
      <c r="G22" s="2">
        <f t="shared" si="3"/>
        <v>164042.5</v>
      </c>
      <c r="H22" s="2">
        <f t="shared" si="3"/>
        <v>157321.8</v>
      </c>
      <c r="I22" s="2">
        <f t="shared" si="3"/>
        <v>635.3</v>
      </c>
      <c r="J22" s="2">
        <f t="shared" si="3"/>
        <v>0</v>
      </c>
      <c r="K22" s="2">
        <f t="shared" si="3"/>
        <v>72734.296</v>
      </c>
      <c r="L22" s="2">
        <f t="shared" si="3"/>
        <v>71844.896</v>
      </c>
      <c r="M22" s="2">
        <f t="shared" si="3"/>
        <v>40926.5</v>
      </c>
      <c r="N22" s="2">
        <f t="shared" si="3"/>
        <v>40926.5</v>
      </c>
      <c r="O22" s="67"/>
      <c r="P22" s="4"/>
      <c r="Q22" s="12" t="s">
        <v>122</v>
      </c>
      <c r="R22" s="34"/>
      <c r="S22" s="34"/>
      <c r="W22" s="35"/>
      <c r="X22" s="35"/>
      <c r="Z22" s="35"/>
    </row>
    <row r="23" spans="1:33" s="12" customFormat="1" ht="15.75">
      <c r="A23" s="50"/>
      <c r="B23" s="72"/>
      <c r="C23" s="70"/>
      <c r="D23" s="10" t="s">
        <v>15</v>
      </c>
      <c r="E23" s="2">
        <f t="shared" si="1"/>
        <v>312004.6</v>
      </c>
      <c r="F23" s="2">
        <f t="shared" si="2"/>
        <v>299953</v>
      </c>
      <c r="G23" s="2">
        <f aca="true" t="shared" si="4" ref="G23:N25">G47+G109+G240+G392</f>
        <v>174340.5</v>
      </c>
      <c r="H23" s="2">
        <f t="shared" si="4"/>
        <v>162288.90000000002</v>
      </c>
      <c r="I23" s="2">
        <f t="shared" si="4"/>
        <v>518.5</v>
      </c>
      <c r="J23" s="2">
        <f t="shared" si="4"/>
        <v>518.5</v>
      </c>
      <c r="K23" s="2">
        <f t="shared" si="4"/>
        <v>98216.8</v>
      </c>
      <c r="L23" s="2">
        <f t="shared" si="4"/>
        <v>98216.8</v>
      </c>
      <c r="M23" s="2">
        <f t="shared" si="4"/>
        <v>38928.8</v>
      </c>
      <c r="N23" s="2">
        <f t="shared" si="4"/>
        <v>38928.8</v>
      </c>
      <c r="O23" s="67"/>
      <c r="P23" s="4"/>
      <c r="Q23" s="35">
        <f>H23-H97-H344-H356-H368-H380</f>
        <v>151700.30000000002</v>
      </c>
      <c r="R23" s="35"/>
      <c r="S23" s="35"/>
      <c r="U23" s="35"/>
      <c r="V23" s="35"/>
      <c r="AA23" s="35"/>
      <c r="AB23" s="35"/>
      <c r="AD23" s="35"/>
      <c r="AE23" s="35"/>
      <c r="AF23" s="36"/>
      <c r="AG23" s="36"/>
    </row>
    <row r="24" spans="1:32" s="12" customFormat="1" ht="15.75">
      <c r="A24" s="50"/>
      <c r="B24" s="72"/>
      <c r="C24" s="70"/>
      <c r="D24" s="10" t="s">
        <v>16</v>
      </c>
      <c r="E24" s="2">
        <f t="shared" si="1"/>
        <v>296326.39999999997</v>
      </c>
      <c r="F24" s="2">
        <f t="shared" si="2"/>
        <v>191485.3</v>
      </c>
      <c r="G24" s="2">
        <f t="shared" si="4"/>
        <v>174126.9</v>
      </c>
      <c r="H24" s="2">
        <f t="shared" si="4"/>
        <v>165874.8</v>
      </c>
      <c r="I24" s="2">
        <f t="shared" si="4"/>
        <v>0</v>
      </c>
      <c r="J24" s="2">
        <f t="shared" si="4"/>
        <v>0</v>
      </c>
      <c r="K24" s="2">
        <f t="shared" si="4"/>
        <v>98844.70000000001</v>
      </c>
      <c r="L24" s="2">
        <f t="shared" si="4"/>
        <v>2255.7</v>
      </c>
      <c r="M24" s="2">
        <f t="shared" si="4"/>
        <v>23354.8</v>
      </c>
      <c r="N24" s="2">
        <f t="shared" si="4"/>
        <v>23354.8</v>
      </c>
      <c r="O24" s="67"/>
      <c r="P24" s="4"/>
      <c r="Q24" s="35">
        <f>H24-H98-H345-H357-H369-H381</f>
        <v>155667.99999999997</v>
      </c>
      <c r="R24" s="35">
        <v>155588</v>
      </c>
      <c r="S24" s="35">
        <f>R24-Q24</f>
        <v>-79.9999999999709</v>
      </c>
      <c r="U24" s="35"/>
      <c r="V24" s="35"/>
      <c r="AA24" s="35"/>
      <c r="AB24" s="35"/>
      <c r="AF24" s="36"/>
    </row>
    <row r="25" spans="1:32" s="12" customFormat="1" ht="15.75">
      <c r="A25" s="50"/>
      <c r="B25" s="72"/>
      <c r="C25" s="70"/>
      <c r="D25" s="10" t="s">
        <v>17</v>
      </c>
      <c r="E25" s="2">
        <f t="shared" si="1"/>
        <v>295536.39999999997</v>
      </c>
      <c r="F25" s="2">
        <f t="shared" si="2"/>
        <v>189819.4</v>
      </c>
      <c r="G25" s="2">
        <f t="shared" si="4"/>
        <v>174126.9</v>
      </c>
      <c r="H25" s="2">
        <f t="shared" si="4"/>
        <v>164998.9</v>
      </c>
      <c r="I25" s="2">
        <f t="shared" si="4"/>
        <v>0</v>
      </c>
      <c r="J25" s="2">
        <f t="shared" si="4"/>
        <v>0</v>
      </c>
      <c r="K25" s="2">
        <f t="shared" si="4"/>
        <v>98844.70000000001</v>
      </c>
      <c r="L25" s="2">
        <f t="shared" si="4"/>
        <v>2255.7</v>
      </c>
      <c r="M25" s="2">
        <f t="shared" si="4"/>
        <v>22564.8</v>
      </c>
      <c r="N25" s="2">
        <f t="shared" si="4"/>
        <v>22564.8</v>
      </c>
      <c r="O25" s="67"/>
      <c r="P25" s="4"/>
      <c r="Q25" s="35">
        <f>H25-H99-H346-H358-H370-H382</f>
        <v>154792.09999999998</v>
      </c>
      <c r="R25" s="35"/>
      <c r="S25" s="35"/>
      <c r="U25" s="35"/>
      <c r="V25" s="35"/>
      <c r="AA25" s="35"/>
      <c r="AB25" s="35"/>
      <c r="AF25" s="36"/>
    </row>
    <row r="26" spans="1:32" s="12" customFormat="1" ht="15.75">
      <c r="A26" s="50"/>
      <c r="B26" s="72"/>
      <c r="C26" s="70"/>
      <c r="D26" s="10" t="s">
        <v>99</v>
      </c>
      <c r="E26" s="2">
        <f t="shared" si="1"/>
        <v>295536.39999999997</v>
      </c>
      <c r="F26" s="2">
        <f t="shared" si="2"/>
        <v>189819.4</v>
      </c>
      <c r="G26" s="2">
        <f>G50+G112+G243+G395</f>
        <v>174126.9</v>
      </c>
      <c r="H26" s="2">
        <f aca="true" t="shared" si="5" ref="H26:N26">H50+H112+H243+H395</f>
        <v>164998.9</v>
      </c>
      <c r="I26" s="2">
        <f t="shared" si="5"/>
        <v>0</v>
      </c>
      <c r="J26" s="2">
        <f t="shared" si="5"/>
        <v>0</v>
      </c>
      <c r="K26" s="2">
        <f t="shared" si="5"/>
        <v>98844.70000000001</v>
      </c>
      <c r="L26" s="2">
        <f t="shared" si="5"/>
        <v>2255.7</v>
      </c>
      <c r="M26" s="2">
        <f t="shared" si="5"/>
        <v>22564.8</v>
      </c>
      <c r="N26" s="2">
        <f t="shared" si="5"/>
        <v>22564.8</v>
      </c>
      <c r="O26" s="67"/>
      <c r="P26" s="4"/>
      <c r="Q26" s="35">
        <f>H26-H100-H347-H359-H371-H383</f>
        <v>154792.09999999998</v>
      </c>
      <c r="R26" s="35">
        <f>H24-Q24</f>
        <v>10206.800000000017</v>
      </c>
      <c r="S26" s="35"/>
      <c r="U26" s="35"/>
      <c r="V26" s="35"/>
      <c r="AA26" s="35"/>
      <c r="AB26" s="35"/>
      <c r="AF26" s="36"/>
    </row>
    <row r="27" spans="1:32" s="12" customFormat="1" ht="15.75">
      <c r="A27" s="50"/>
      <c r="B27" s="72"/>
      <c r="C27" s="70"/>
      <c r="D27" s="10" t="s">
        <v>100</v>
      </c>
      <c r="E27" s="2">
        <f t="shared" si="1"/>
        <v>295536.39999999997</v>
      </c>
      <c r="F27" s="2">
        <f t="shared" si="2"/>
        <v>138951.2</v>
      </c>
      <c r="G27" s="2">
        <f>G51+G113+G244+G396</f>
        <v>174126.9</v>
      </c>
      <c r="H27" s="2">
        <f>H51+H113+H244+H396</f>
        <v>138951.2</v>
      </c>
      <c r="I27" s="2">
        <f aca="true" t="shared" si="6" ref="I27:N27">I51+I113+I244+I396</f>
        <v>0</v>
      </c>
      <c r="J27" s="2">
        <f t="shared" si="6"/>
        <v>0</v>
      </c>
      <c r="K27" s="2">
        <f t="shared" si="6"/>
        <v>98844.70000000001</v>
      </c>
      <c r="L27" s="2">
        <f t="shared" si="6"/>
        <v>0</v>
      </c>
      <c r="M27" s="2">
        <f t="shared" si="6"/>
        <v>22564.8</v>
      </c>
      <c r="N27" s="2">
        <f t="shared" si="6"/>
        <v>0</v>
      </c>
      <c r="O27" s="67"/>
      <c r="P27" s="4"/>
      <c r="Q27" s="35"/>
      <c r="R27" s="35"/>
      <c r="S27" s="35"/>
      <c r="U27" s="35"/>
      <c r="V27" s="35"/>
      <c r="AA27" s="35"/>
      <c r="AB27" s="35"/>
      <c r="AF27" s="36"/>
    </row>
    <row r="28" spans="1:32" s="12" customFormat="1" ht="15.75">
      <c r="A28" s="50"/>
      <c r="B28" s="72"/>
      <c r="C28" s="70"/>
      <c r="D28" s="10" t="s">
        <v>101</v>
      </c>
      <c r="E28" s="2">
        <f t="shared" si="1"/>
        <v>295536.39999999997</v>
      </c>
      <c r="F28" s="2">
        <f t="shared" si="2"/>
        <v>0</v>
      </c>
      <c r="G28" s="2">
        <f aca="true" t="shared" si="7" ref="G28:N28">G52+G114+G245+G397</f>
        <v>174126.9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98844.70000000001</v>
      </c>
      <c r="L28" s="2">
        <f t="shared" si="7"/>
        <v>0</v>
      </c>
      <c r="M28" s="2">
        <f t="shared" si="7"/>
        <v>22564.8</v>
      </c>
      <c r="N28" s="2">
        <f t="shared" si="7"/>
        <v>0</v>
      </c>
      <c r="O28" s="67"/>
      <c r="P28" s="4"/>
      <c r="Q28" s="35"/>
      <c r="R28" s="35"/>
      <c r="S28" s="35"/>
      <c r="U28" s="35"/>
      <c r="V28" s="35"/>
      <c r="AA28" s="35"/>
      <c r="AB28" s="35"/>
      <c r="AF28" s="36"/>
    </row>
    <row r="29" spans="1:32" s="12" customFormat="1" ht="15.75">
      <c r="A29" s="50"/>
      <c r="B29" s="72"/>
      <c r="C29" s="70"/>
      <c r="D29" s="10" t="s">
        <v>102</v>
      </c>
      <c r="E29" s="2">
        <f t="shared" si="1"/>
        <v>295536.39999999997</v>
      </c>
      <c r="F29" s="2">
        <f t="shared" si="2"/>
        <v>0</v>
      </c>
      <c r="G29" s="2">
        <f aca="true" t="shared" si="8" ref="G29:N29">G53+G115+G246+G398</f>
        <v>174126.9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98844.70000000001</v>
      </c>
      <c r="L29" s="2">
        <f t="shared" si="8"/>
        <v>0</v>
      </c>
      <c r="M29" s="2">
        <f t="shared" si="8"/>
        <v>22564.8</v>
      </c>
      <c r="N29" s="2">
        <f t="shared" si="8"/>
        <v>0</v>
      </c>
      <c r="O29" s="67"/>
      <c r="P29" s="4"/>
      <c r="Q29" s="35"/>
      <c r="R29" s="35"/>
      <c r="S29" s="35"/>
      <c r="U29" s="35"/>
      <c r="V29" s="35"/>
      <c r="AA29" s="35"/>
      <c r="AB29" s="35"/>
      <c r="AF29" s="36"/>
    </row>
    <row r="30" spans="1:33" s="12" customFormat="1" ht="15.75">
      <c r="A30" s="51"/>
      <c r="B30" s="73"/>
      <c r="C30" s="70"/>
      <c r="D30" s="10" t="s">
        <v>103</v>
      </c>
      <c r="E30" s="2">
        <f t="shared" si="1"/>
        <v>295536.39999999997</v>
      </c>
      <c r="F30" s="2">
        <f t="shared" si="2"/>
        <v>0</v>
      </c>
      <c r="G30" s="2">
        <f aca="true" t="shared" si="9" ref="G30:N30">G54+G116+G247+G399</f>
        <v>174126.9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98844.70000000001</v>
      </c>
      <c r="L30" s="2">
        <f t="shared" si="9"/>
        <v>0</v>
      </c>
      <c r="M30" s="2">
        <f t="shared" si="9"/>
        <v>22564.8</v>
      </c>
      <c r="N30" s="2">
        <f t="shared" si="9"/>
        <v>0</v>
      </c>
      <c r="O30" s="68"/>
      <c r="P30" s="4"/>
      <c r="Q30" s="35"/>
      <c r="R30" s="35"/>
      <c r="S30" s="35"/>
      <c r="AA30" s="35"/>
      <c r="AB30" s="35"/>
      <c r="AG30" s="36"/>
    </row>
    <row r="31" spans="1:27" s="12" customFormat="1" ht="12.75" customHeight="1">
      <c r="A31" s="49"/>
      <c r="B31" s="71" t="s">
        <v>118</v>
      </c>
      <c r="C31" s="13"/>
      <c r="D31" s="10" t="s">
        <v>11</v>
      </c>
      <c r="E31" s="2">
        <f>SUM(E32:E42)</f>
        <v>2241295.92</v>
      </c>
      <c r="F31" s="2">
        <f aca="true" t="shared" si="10" ref="F31:N31">SUM(F32:F42)</f>
        <v>1358771</v>
      </c>
      <c r="G31" s="2">
        <f t="shared" si="10"/>
        <v>1353365.0200000003</v>
      </c>
      <c r="H31" s="2">
        <f t="shared" si="10"/>
        <v>942886.2</v>
      </c>
      <c r="I31" s="2">
        <f>SUM(I32:I42)</f>
        <v>7627.1</v>
      </c>
      <c r="J31" s="2">
        <f t="shared" si="10"/>
        <v>127.1</v>
      </c>
      <c r="K31" s="2">
        <f t="shared" si="10"/>
        <v>477868.29999999993</v>
      </c>
      <c r="L31" s="2">
        <f>SUM(L32:L42)</f>
        <v>149646.59999999998</v>
      </c>
      <c r="M31" s="2">
        <f t="shared" si="10"/>
        <v>402435.4999999999</v>
      </c>
      <c r="N31" s="2">
        <f t="shared" si="10"/>
        <v>266111.1</v>
      </c>
      <c r="O31" s="69" t="s">
        <v>88</v>
      </c>
      <c r="P31" s="4"/>
      <c r="R31" s="35"/>
      <c r="S31" s="35"/>
      <c r="AA31" s="35"/>
    </row>
    <row r="32" spans="1:16" s="12" customFormat="1" ht="24" customHeight="1">
      <c r="A32" s="50"/>
      <c r="B32" s="72"/>
      <c r="D32" s="10" t="s">
        <v>12</v>
      </c>
      <c r="E32" s="2">
        <f aca="true" t="shared" si="11" ref="E32:E42">G32+I32+K32+M32</f>
        <v>180341.6</v>
      </c>
      <c r="F32" s="2">
        <f aca="true" t="shared" si="12" ref="F32:F42">H32+J32+L32+N32</f>
        <v>162018.30000000002</v>
      </c>
      <c r="G32" s="2">
        <f>G149</f>
        <v>116756.20000000001</v>
      </c>
      <c r="H32" s="2">
        <f aca="true" t="shared" si="13" ref="H32:N32">H149</f>
        <v>104347.90000000001</v>
      </c>
      <c r="I32" s="2">
        <f t="shared" si="13"/>
        <v>2500</v>
      </c>
      <c r="J32" s="2">
        <f t="shared" si="13"/>
        <v>0</v>
      </c>
      <c r="K32" s="2">
        <f t="shared" si="13"/>
        <v>27766.9</v>
      </c>
      <c r="L32" s="2">
        <f t="shared" si="13"/>
        <v>24351.9</v>
      </c>
      <c r="M32" s="2">
        <f t="shared" si="13"/>
        <v>33318.5</v>
      </c>
      <c r="N32" s="2">
        <f t="shared" si="13"/>
        <v>33318.5</v>
      </c>
      <c r="O32" s="69"/>
      <c r="P32" s="33"/>
    </row>
    <row r="33" spans="1:16" s="12" customFormat="1" ht="23.25" customHeight="1">
      <c r="A33" s="50"/>
      <c r="B33" s="72"/>
      <c r="C33" s="70" t="s">
        <v>60</v>
      </c>
      <c r="D33" s="10" t="s">
        <v>13</v>
      </c>
      <c r="E33" s="2">
        <f t="shared" si="11"/>
        <v>181324.74</v>
      </c>
      <c r="F33" s="2">
        <f t="shared" si="12"/>
        <v>173599.8</v>
      </c>
      <c r="G33" s="2">
        <f aca="true" t="shared" si="14" ref="G33:N33">G150</f>
        <v>111578.54000000001</v>
      </c>
      <c r="H33" s="2">
        <f t="shared" si="14"/>
        <v>109904.6</v>
      </c>
      <c r="I33" s="2">
        <f t="shared" si="14"/>
        <v>2500</v>
      </c>
      <c r="J33" s="2">
        <f t="shared" si="14"/>
        <v>0</v>
      </c>
      <c r="K33" s="2">
        <f t="shared" si="14"/>
        <v>28121.9</v>
      </c>
      <c r="L33" s="2">
        <f t="shared" si="14"/>
        <v>24570.9</v>
      </c>
      <c r="M33" s="2">
        <f t="shared" si="14"/>
        <v>39124.3</v>
      </c>
      <c r="N33" s="2">
        <f t="shared" si="14"/>
        <v>39124.3</v>
      </c>
      <c r="O33" s="69"/>
      <c r="P33" s="4"/>
    </row>
    <row r="34" spans="1:16" s="12" customFormat="1" ht="12.75" customHeight="1">
      <c r="A34" s="50"/>
      <c r="B34" s="72"/>
      <c r="C34" s="70"/>
      <c r="D34" s="10" t="s">
        <v>14</v>
      </c>
      <c r="E34" s="2">
        <f t="shared" si="11"/>
        <v>197720.5</v>
      </c>
      <c r="F34" s="2">
        <f t="shared" si="12"/>
        <v>188559.5</v>
      </c>
      <c r="G34" s="2">
        <f aca="true" t="shared" si="15" ref="G34:N34">G151</f>
        <v>113801.6</v>
      </c>
      <c r="H34" s="2">
        <f t="shared" si="15"/>
        <v>110275.6</v>
      </c>
      <c r="I34" s="2">
        <f t="shared" si="15"/>
        <v>2500</v>
      </c>
      <c r="J34" s="2">
        <f t="shared" si="15"/>
        <v>0</v>
      </c>
      <c r="K34" s="2">
        <f t="shared" si="15"/>
        <v>40223.799999999996</v>
      </c>
      <c r="L34" s="2">
        <f t="shared" si="15"/>
        <v>37088.799999999996</v>
      </c>
      <c r="M34" s="2">
        <f t="shared" si="15"/>
        <v>41195.1</v>
      </c>
      <c r="N34" s="2">
        <f t="shared" si="15"/>
        <v>41195.1</v>
      </c>
      <c r="O34" s="69"/>
      <c r="P34" s="4"/>
    </row>
    <row r="35" spans="1:16" s="12" customFormat="1" ht="18.75" customHeight="1">
      <c r="A35" s="50"/>
      <c r="B35" s="72"/>
      <c r="C35" s="70"/>
      <c r="D35" s="10" t="s">
        <v>15</v>
      </c>
      <c r="E35" s="2">
        <f t="shared" si="11"/>
        <v>221087.6</v>
      </c>
      <c r="F35" s="2">
        <f t="shared" si="12"/>
        <v>217736.5</v>
      </c>
      <c r="G35" s="2">
        <f aca="true" t="shared" si="16" ref="G35:N35">G152</f>
        <v>127114.9</v>
      </c>
      <c r="H35" s="2">
        <f t="shared" si="16"/>
        <v>123763.8</v>
      </c>
      <c r="I35" s="2">
        <f t="shared" si="16"/>
        <v>127.1</v>
      </c>
      <c r="J35" s="2">
        <f t="shared" si="16"/>
        <v>127.1</v>
      </c>
      <c r="K35" s="2">
        <f t="shared" si="16"/>
        <v>47521.100000000006</v>
      </c>
      <c r="L35" s="2">
        <f t="shared" si="16"/>
        <v>47521.100000000006</v>
      </c>
      <c r="M35" s="2">
        <f t="shared" si="16"/>
        <v>46324.5</v>
      </c>
      <c r="N35" s="2">
        <f t="shared" si="16"/>
        <v>46324.5</v>
      </c>
      <c r="O35" s="69"/>
      <c r="P35" s="4"/>
    </row>
    <row r="36" spans="1:16" s="12" customFormat="1" ht="12.75" customHeight="1">
      <c r="A36" s="50"/>
      <c r="B36" s="72"/>
      <c r="C36" s="70"/>
      <c r="D36" s="10" t="s">
        <v>16</v>
      </c>
      <c r="E36" s="2">
        <f t="shared" si="11"/>
        <v>214693.84</v>
      </c>
      <c r="F36" s="2">
        <f t="shared" si="12"/>
        <v>169072.19999999998</v>
      </c>
      <c r="G36" s="2">
        <f aca="true" t="shared" si="17" ref="G36:N36">G153</f>
        <v>128959.54</v>
      </c>
      <c r="H36" s="2">
        <f t="shared" si="17"/>
        <v>125714.4</v>
      </c>
      <c r="I36" s="2">
        <f t="shared" si="17"/>
        <v>0</v>
      </c>
      <c r="J36" s="2">
        <f t="shared" si="17"/>
        <v>0</v>
      </c>
      <c r="K36" s="2">
        <f t="shared" si="17"/>
        <v>47747.8</v>
      </c>
      <c r="L36" s="2">
        <f t="shared" si="17"/>
        <v>5371.3</v>
      </c>
      <c r="M36" s="2">
        <f t="shared" si="17"/>
        <v>37986.5</v>
      </c>
      <c r="N36" s="2">
        <f t="shared" si="17"/>
        <v>37986.5</v>
      </c>
      <c r="O36" s="69"/>
      <c r="P36" s="4"/>
    </row>
    <row r="37" spans="1:16" s="12" customFormat="1" ht="12.75" customHeight="1">
      <c r="A37" s="50"/>
      <c r="B37" s="72"/>
      <c r="C37" s="70"/>
      <c r="D37" s="10" t="s">
        <v>17</v>
      </c>
      <c r="E37" s="2">
        <f t="shared" si="11"/>
        <v>207687.94</v>
      </c>
      <c r="F37" s="2">
        <f t="shared" si="12"/>
        <v>162066.3</v>
      </c>
      <c r="G37" s="2">
        <f aca="true" t="shared" si="18" ref="G37:N37">G154</f>
        <v>125859.04</v>
      </c>
      <c r="H37" s="2">
        <f t="shared" si="18"/>
        <v>122613.9</v>
      </c>
      <c r="I37" s="2">
        <f t="shared" si="18"/>
        <v>0</v>
      </c>
      <c r="J37" s="2">
        <f t="shared" si="18"/>
        <v>0</v>
      </c>
      <c r="K37" s="2">
        <f t="shared" si="18"/>
        <v>47747.8</v>
      </c>
      <c r="L37" s="2">
        <f t="shared" si="18"/>
        <v>5371.3</v>
      </c>
      <c r="M37" s="2">
        <f t="shared" si="18"/>
        <v>34081.1</v>
      </c>
      <c r="N37" s="2">
        <f t="shared" si="18"/>
        <v>34081.1</v>
      </c>
      <c r="O37" s="69"/>
      <c r="P37" s="4"/>
    </row>
    <row r="38" spans="1:16" s="12" customFormat="1" ht="12.75" customHeight="1">
      <c r="A38" s="50"/>
      <c r="B38" s="72"/>
      <c r="C38" s="70"/>
      <c r="D38" s="10" t="s">
        <v>99</v>
      </c>
      <c r="E38" s="2">
        <f t="shared" si="11"/>
        <v>207687.94</v>
      </c>
      <c r="F38" s="2">
        <f t="shared" si="12"/>
        <v>162066.3</v>
      </c>
      <c r="G38" s="2">
        <f>G155</f>
        <v>125859.04</v>
      </c>
      <c r="H38" s="2">
        <f aca="true" t="shared" si="19" ref="H38:N38">H155</f>
        <v>122613.9</v>
      </c>
      <c r="I38" s="2">
        <f t="shared" si="19"/>
        <v>0</v>
      </c>
      <c r="J38" s="2">
        <f t="shared" si="19"/>
        <v>0</v>
      </c>
      <c r="K38" s="2">
        <f t="shared" si="19"/>
        <v>47747.8</v>
      </c>
      <c r="L38" s="2">
        <f t="shared" si="19"/>
        <v>5371.3</v>
      </c>
      <c r="M38" s="2">
        <f t="shared" si="19"/>
        <v>34081.1</v>
      </c>
      <c r="N38" s="2">
        <f t="shared" si="19"/>
        <v>34081.1</v>
      </c>
      <c r="O38" s="69"/>
      <c r="P38" s="4"/>
    </row>
    <row r="39" spans="1:16" s="12" customFormat="1" ht="12.75" customHeight="1">
      <c r="A39" s="50"/>
      <c r="B39" s="72"/>
      <c r="C39" s="70"/>
      <c r="D39" s="10" t="s">
        <v>100</v>
      </c>
      <c r="E39" s="2">
        <f t="shared" si="11"/>
        <v>207687.94</v>
      </c>
      <c r="F39" s="2">
        <f t="shared" si="12"/>
        <v>123652.1</v>
      </c>
      <c r="G39" s="2">
        <f aca="true" t="shared" si="20" ref="G39:N39">G156</f>
        <v>125859.04</v>
      </c>
      <c r="H39" s="2">
        <f t="shared" si="20"/>
        <v>123652.1</v>
      </c>
      <c r="I39" s="2">
        <f t="shared" si="20"/>
        <v>0</v>
      </c>
      <c r="J39" s="2">
        <f t="shared" si="20"/>
        <v>0</v>
      </c>
      <c r="K39" s="2">
        <f t="shared" si="20"/>
        <v>47747.8</v>
      </c>
      <c r="L39" s="2">
        <f t="shared" si="20"/>
        <v>0</v>
      </c>
      <c r="M39" s="2">
        <f t="shared" si="20"/>
        <v>34081.1</v>
      </c>
      <c r="N39" s="2">
        <f t="shared" si="20"/>
        <v>0</v>
      </c>
      <c r="O39" s="69"/>
      <c r="P39" s="4"/>
    </row>
    <row r="40" spans="1:16" s="12" customFormat="1" ht="12.75" customHeight="1">
      <c r="A40" s="50"/>
      <c r="B40" s="72"/>
      <c r="C40" s="70"/>
      <c r="D40" s="10" t="s">
        <v>101</v>
      </c>
      <c r="E40" s="2">
        <f t="shared" si="11"/>
        <v>207687.94</v>
      </c>
      <c r="F40" s="2">
        <f t="shared" si="12"/>
        <v>0</v>
      </c>
      <c r="G40" s="2">
        <f aca="true" t="shared" si="21" ref="G40:N40">G157</f>
        <v>125859.04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47747.8</v>
      </c>
      <c r="L40" s="2">
        <f t="shared" si="21"/>
        <v>0</v>
      </c>
      <c r="M40" s="2">
        <f t="shared" si="21"/>
        <v>34081.1</v>
      </c>
      <c r="N40" s="2">
        <f t="shared" si="21"/>
        <v>0</v>
      </c>
      <c r="O40" s="69"/>
      <c r="P40" s="4"/>
    </row>
    <row r="41" spans="1:16" s="12" customFormat="1" ht="12.75" customHeight="1">
      <c r="A41" s="50"/>
      <c r="B41" s="72"/>
      <c r="C41" s="70"/>
      <c r="D41" s="10" t="s">
        <v>102</v>
      </c>
      <c r="E41" s="2">
        <f t="shared" si="11"/>
        <v>207687.94</v>
      </c>
      <c r="F41" s="2">
        <f t="shared" si="12"/>
        <v>0</v>
      </c>
      <c r="G41" s="2">
        <f aca="true" t="shared" si="22" ref="G41:N41">G158</f>
        <v>125859.04</v>
      </c>
      <c r="H41" s="2">
        <f t="shared" si="22"/>
        <v>0</v>
      </c>
      <c r="I41" s="2">
        <f t="shared" si="22"/>
        <v>0</v>
      </c>
      <c r="J41" s="2">
        <f t="shared" si="22"/>
        <v>0</v>
      </c>
      <c r="K41" s="2">
        <f t="shared" si="22"/>
        <v>47747.8</v>
      </c>
      <c r="L41" s="2">
        <f t="shared" si="22"/>
        <v>0</v>
      </c>
      <c r="M41" s="2">
        <f t="shared" si="22"/>
        <v>34081.1</v>
      </c>
      <c r="N41" s="2">
        <f t="shared" si="22"/>
        <v>0</v>
      </c>
      <c r="O41" s="69"/>
      <c r="P41" s="4"/>
    </row>
    <row r="42" spans="1:16" s="12" customFormat="1" ht="31.5" customHeight="1">
      <c r="A42" s="51"/>
      <c r="B42" s="73"/>
      <c r="C42" s="70"/>
      <c r="D42" s="10" t="s">
        <v>103</v>
      </c>
      <c r="E42" s="2">
        <f t="shared" si="11"/>
        <v>207687.94</v>
      </c>
      <c r="F42" s="2">
        <f t="shared" si="12"/>
        <v>0</v>
      </c>
      <c r="G42" s="2">
        <f aca="true" t="shared" si="23" ref="G42:N42">G159</f>
        <v>125859.04</v>
      </c>
      <c r="H42" s="2">
        <f t="shared" si="23"/>
        <v>0</v>
      </c>
      <c r="I42" s="2">
        <f t="shared" si="23"/>
        <v>0</v>
      </c>
      <c r="J42" s="2">
        <f t="shared" si="23"/>
        <v>0</v>
      </c>
      <c r="K42" s="2">
        <f t="shared" si="23"/>
        <v>47747.8</v>
      </c>
      <c r="L42" s="2">
        <f t="shared" si="23"/>
        <v>0</v>
      </c>
      <c r="M42" s="2">
        <f t="shared" si="23"/>
        <v>34081.1</v>
      </c>
      <c r="N42" s="2">
        <f t="shared" si="23"/>
        <v>0</v>
      </c>
      <c r="O42" s="69"/>
      <c r="P42" s="4"/>
    </row>
    <row r="43" spans="1:16" s="12" customFormat="1" ht="15" customHeight="1">
      <c r="A43" s="59" t="s">
        <v>25</v>
      </c>
      <c r="B43" s="14" t="s">
        <v>43</v>
      </c>
      <c r="D43" s="10" t="s">
        <v>11</v>
      </c>
      <c r="E43" s="2">
        <f>SUM(E44:E54)</f>
        <v>1181269.623</v>
      </c>
      <c r="F43" s="2">
        <f aca="true" t="shared" si="24" ref="F43:N43">SUM(F44:F54)</f>
        <v>596184.0430000001</v>
      </c>
      <c r="G43" s="2">
        <f t="shared" si="24"/>
        <v>705074.6799999999</v>
      </c>
      <c r="H43" s="2">
        <f t="shared" si="24"/>
        <v>463103.6</v>
      </c>
      <c r="I43" s="2">
        <f t="shared" si="24"/>
        <v>1737.8</v>
      </c>
      <c r="J43" s="2">
        <f t="shared" si="24"/>
        <v>0</v>
      </c>
      <c r="K43" s="2">
        <f t="shared" si="24"/>
        <v>461069.54300000006</v>
      </c>
      <c r="L43" s="2">
        <f t="shared" si="24"/>
        <v>123572.843</v>
      </c>
      <c r="M43" s="2">
        <f t="shared" si="24"/>
        <v>13387.599999999999</v>
      </c>
      <c r="N43" s="2">
        <f t="shared" si="24"/>
        <v>9507.599999999999</v>
      </c>
      <c r="O43" s="64" t="s">
        <v>88</v>
      </c>
      <c r="P43" s="4"/>
    </row>
    <row r="44" spans="1:16" s="12" customFormat="1" ht="42.75" customHeight="1">
      <c r="A44" s="60"/>
      <c r="B44" s="92" t="s">
        <v>10</v>
      </c>
      <c r="C44" s="10" t="s">
        <v>68</v>
      </c>
      <c r="D44" s="10" t="s">
        <v>12</v>
      </c>
      <c r="E44" s="2">
        <f>G44+I44+K44+M44</f>
        <v>94910.1</v>
      </c>
      <c r="F44" s="2">
        <f aca="true" t="shared" si="25" ref="E44:F48">H44+J44+L44+N44</f>
        <v>73906</v>
      </c>
      <c r="G44" s="2">
        <f>G56+G68+G82+G94</f>
        <v>71330.3</v>
      </c>
      <c r="H44" s="2">
        <f>H56+H68+H82+H94</f>
        <v>53230.2</v>
      </c>
      <c r="I44" s="2">
        <f aca="true" t="shared" si="26" ref="I44:N49">I56+I68+I82</f>
        <v>525</v>
      </c>
      <c r="J44" s="2">
        <f t="shared" si="26"/>
        <v>0</v>
      </c>
      <c r="K44" s="2">
        <f t="shared" si="26"/>
        <v>21964.3</v>
      </c>
      <c r="L44" s="2">
        <f t="shared" si="26"/>
        <v>19585.3</v>
      </c>
      <c r="M44" s="2">
        <f t="shared" si="26"/>
        <v>1090.5</v>
      </c>
      <c r="N44" s="2">
        <f t="shared" si="26"/>
        <v>1090.5</v>
      </c>
      <c r="O44" s="65"/>
      <c r="P44" s="33"/>
    </row>
    <row r="45" spans="1:16" s="12" customFormat="1" ht="42" customHeight="1">
      <c r="A45" s="60"/>
      <c r="B45" s="92"/>
      <c r="C45" s="71" t="s">
        <v>67</v>
      </c>
      <c r="D45" s="10" t="s">
        <v>13</v>
      </c>
      <c r="E45" s="2">
        <f t="shared" si="25"/>
        <v>85717.78</v>
      </c>
      <c r="F45" s="2">
        <f t="shared" si="25"/>
        <v>78152.7</v>
      </c>
      <c r="G45" s="2">
        <f>G57+G69+G83+G95</f>
        <v>61778.08</v>
      </c>
      <c r="H45" s="2">
        <f>H57+H83+H95</f>
        <v>56943</v>
      </c>
      <c r="I45" s="2">
        <f t="shared" si="26"/>
        <v>577.5</v>
      </c>
      <c r="J45" s="2">
        <f t="shared" si="26"/>
        <v>0</v>
      </c>
      <c r="K45" s="2">
        <f t="shared" si="26"/>
        <v>21556.5</v>
      </c>
      <c r="L45" s="2">
        <f t="shared" si="26"/>
        <v>19404</v>
      </c>
      <c r="M45" s="2">
        <f t="shared" si="26"/>
        <v>1805.7</v>
      </c>
      <c r="N45" s="2">
        <f t="shared" si="26"/>
        <v>1805.7</v>
      </c>
      <c r="O45" s="65"/>
      <c r="P45" s="4"/>
    </row>
    <row r="46" spans="1:16" s="12" customFormat="1" ht="26.25" customHeight="1">
      <c r="A46" s="60"/>
      <c r="B46" s="92"/>
      <c r="C46" s="72"/>
      <c r="D46" s="10" t="s">
        <v>14</v>
      </c>
      <c r="E46" s="2">
        <f t="shared" si="25"/>
        <v>103715.24300000002</v>
      </c>
      <c r="F46" s="2">
        <f t="shared" si="25"/>
        <v>97697.14300000001</v>
      </c>
      <c r="G46" s="2">
        <f>G58+G70+G84+G96</f>
        <v>63546.3</v>
      </c>
      <c r="H46" s="2">
        <f>H58+H70+H84+H96</f>
        <v>59052.9</v>
      </c>
      <c r="I46" s="2">
        <f t="shared" si="26"/>
        <v>635.3</v>
      </c>
      <c r="J46" s="2">
        <f t="shared" si="26"/>
        <v>0</v>
      </c>
      <c r="K46" s="2">
        <f t="shared" si="26"/>
        <v>38033.543</v>
      </c>
      <c r="L46" s="2">
        <f t="shared" si="26"/>
        <v>37144.143</v>
      </c>
      <c r="M46" s="2">
        <f t="shared" si="26"/>
        <v>1500.1</v>
      </c>
      <c r="N46" s="2">
        <f t="shared" si="26"/>
        <v>1500.1</v>
      </c>
      <c r="O46" s="65"/>
      <c r="P46" s="4"/>
    </row>
    <row r="47" spans="1:28" s="12" customFormat="1" ht="15.75">
      <c r="A47" s="60"/>
      <c r="B47" s="92"/>
      <c r="C47" s="72"/>
      <c r="D47" s="10" t="s">
        <v>15</v>
      </c>
      <c r="E47" s="2">
        <f t="shared" si="25"/>
        <v>112584.2</v>
      </c>
      <c r="F47" s="2">
        <f t="shared" si="25"/>
        <v>108049.3</v>
      </c>
      <c r="G47" s="2">
        <f>G59+G71+G85+G97</f>
        <v>63552.5</v>
      </c>
      <c r="H47" s="2">
        <f>H59+H71+H85+H97</f>
        <v>59017.6</v>
      </c>
      <c r="I47" s="2">
        <f t="shared" si="26"/>
        <v>0</v>
      </c>
      <c r="J47" s="2">
        <f t="shared" si="26"/>
        <v>0</v>
      </c>
      <c r="K47" s="2">
        <f t="shared" si="26"/>
        <v>47439.4</v>
      </c>
      <c r="L47" s="2">
        <f t="shared" si="26"/>
        <v>47439.4</v>
      </c>
      <c r="M47" s="2">
        <f t="shared" si="26"/>
        <v>1592.3</v>
      </c>
      <c r="N47" s="2">
        <f t="shared" si="26"/>
        <v>1592.3</v>
      </c>
      <c r="O47" s="65"/>
      <c r="P47" s="4"/>
      <c r="Q47" s="36">
        <f>H46-155</f>
        <v>58897.9</v>
      </c>
      <c r="AB47" s="35"/>
    </row>
    <row r="48" spans="1:16" s="12" customFormat="1" ht="15.75">
      <c r="A48" s="60"/>
      <c r="B48" s="92"/>
      <c r="C48" s="72"/>
      <c r="D48" s="10" t="s">
        <v>16</v>
      </c>
      <c r="E48" s="2">
        <f t="shared" si="25"/>
        <v>112570.9</v>
      </c>
      <c r="F48" s="2">
        <f t="shared" si="25"/>
        <v>60339.7</v>
      </c>
      <c r="G48" s="2">
        <f>G60+G72+G86+G98</f>
        <v>63552.5</v>
      </c>
      <c r="H48" s="2">
        <f>H60+H72+H86+H98</f>
        <v>58760.7</v>
      </c>
      <c r="I48" s="2">
        <f t="shared" si="26"/>
        <v>0</v>
      </c>
      <c r="J48" s="2">
        <f t="shared" si="26"/>
        <v>0</v>
      </c>
      <c r="K48" s="2">
        <f t="shared" si="26"/>
        <v>47439.4</v>
      </c>
      <c r="L48" s="2">
        <f t="shared" si="26"/>
        <v>0</v>
      </c>
      <c r="M48" s="2">
        <f t="shared" si="26"/>
        <v>1579</v>
      </c>
      <c r="N48" s="2">
        <f t="shared" si="26"/>
        <v>1579</v>
      </c>
      <c r="O48" s="65"/>
      <c r="P48" s="4"/>
    </row>
    <row r="49" spans="1:16" s="12" customFormat="1" ht="15.75">
      <c r="A49" s="60"/>
      <c r="B49" s="92"/>
      <c r="C49" s="72"/>
      <c r="D49" s="10" t="s">
        <v>17</v>
      </c>
      <c r="E49" s="2">
        <f aca="true" t="shared" si="27" ref="E49:F54">G49+I49+K49+M49</f>
        <v>111961.9</v>
      </c>
      <c r="F49" s="2">
        <f t="shared" si="27"/>
        <v>59638.1</v>
      </c>
      <c r="G49" s="2">
        <f>G61+G73+G87+G99</f>
        <v>63552.5</v>
      </c>
      <c r="H49" s="2">
        <f>H61+H73+H87+H99</f>
        <v>58668.1</v>
      </c>
      <c r="I49" s="2">
        <f t="shared" si="26"/>
        <v>0</v>
      </c>
      <c r="J49" s="2">
        <f t="shared" si="26"/>
        <v>0</v>
      </c>
      <c r="K49" s="2">
        <f t="shared" si="26"/>
        <v>47439.4</v>
      </c>
      <c r="L49" s="2">
        <f t="shared" si="26"/>
        <v>0</v>
      </c>
      <c r="M49" s="2">
        <f t="shared" si="26"/>
        <v>970</v>
      </c>
      <c r="N49" s="2">
        <f t="shared" si="26"/>
        <v>970</v>
      </c>
      <c r="O49" s="65"/>
      <c r="P49" s="4"/>
    </row>
    <row r="50" spans="1:16" s="12" customFormat="1" ht="15.75">
      <c r="A50" s="60"/>
      <c r="B50" s="92"/>
      <c r="C50" s="72"/>
      <c r="D50" s="10" t="s">
        <v>99</v>
      </c>
      <c r="E50" s="2">
        <f t="shared" si="27"/>
        <v>111961.9</v>
      </c>
      <c r="F50" s="2">
        <f t="shared" si="27"/>
        <v>59638.1</v>
      </c>
      <c r="G50" s="2">
        <f>G62+G88+G100</f>
        <v>63552.5</v>
      </c>
      <c r="H50" s="2">
        <f aca="true" t="shared" si="28" ref="H50:N50">H62+H88+H100</f>
        <v>58668.1</v>
      </c>
      <c r="I50" s="2">
        <f t="shared" si="28"/>
        <v>0</v>
      </c>
      <c r="J50" s="2">
        <f t="shared" si="28"/>
        <v>0</v>
      </c>
      <c r="K50" s="2">
        <f t="shared" si="28"/>
        <v>47439.4</v>
      </c>
      <c r="L50" s="2">
        <f t="shared" si="28"/>
        <v>0</v>
      </c>
      <c r="M50" s="2">
        <f t="shared" si="28"/>
        <v>970</v>
      </c>
      <c r="N50" s="2">
        <f t="shared" si="28"/>
        <v>970</v>
      </c>
      <c r="O50" s="65"/>
      <c r="P50" s="4"/>
    </row>
    <row r="51" spans="1:16" s="12" customFormat="1" ht="15.75">
      <c r="A51" s="60"/>
      <c r="B51" s="92"/>
      <c r="C51" s="72"/>
      <c r="D51" s="10" t="s">
        <v>100</v>
      </c>
      <c r="E51" s="2">
        <f t="shared" si="27"/>
        <v>111961.9</v>
      </c>
      <c r="F51" s="2">
        <f t="shared" si="27"/>
        <v>58763</v>
      </c>
      <c r="G51" s="2">
        <f aca="true" t="shared" si="29" ref="G51:N51">G63+G89+G101</f>
        <v>63552.5</v>
      </c>
      <c r="H51" s="2">
        <f t="shared" si="29"/>
        <v>58763</v>
      </c>
      <c r="I51" s="2">
        <f t="shared" si="29"/>
        <v>0</v>
      </c>
      <c r="J51" s="2">
        <f t="shared" si="29"/>
        <v>0</v>
      </c>
      <c r="K51" s="2">
        <f t="shared" si="29"/>
        <v>47439.4</v>
      </c>
      <c r="L51" s="2">
        <f t="shared" si="29"/>
        <v>0</v>
      </c>
      <c r="M51" s="2">
        <f t="shared" si="29"/>
        <v>970</v>
      </c>
      <c r="N51" s="2">
        <f t="shared" si="29"/>
        <v>0</v>
      </c>
      <c r="O51" s="65"/>
      <c r="P51" s="4"/>
    </row>
    <row r="52" spans="1:16" s="12" customFormat="1" ht="15.75">
      <c r="A52" s="60"/>
      <c r="B52" s="92"/>
      <c r="C52" s="72"/>
      <c r="D52" s="10" t="s">
        <v>101</v>
      </c>
      <c r="E52" s="2">
        <f t="shared" si="27"/>
        <v>111961.9</v>
      </c>
      <c r="F52" s="2">
        <f t="shared" si="27"/>
        <v>0</v>
      </c>
      <c r="G52" s="2">
        <f aca="true" t="shared" si="30" ref="G52:N52">G64+G90+G102</f>
        <v>63552.5</v>
      </c>
      <c r="H52" s="2">
        <f t="shared" si="30"/>
        <v>0</v>
      </c>
      <c r="I52" s="2">
        <f t="shared" si="30"/>
        <v>0</v>
      </c>
      <c r="J52" s="2">
        <f t="shared" si="30"/>
        <v>0</v>
      </c>
      <c r="K52" s="2">
        <f t="shared" si="30"/>
        <v>47439.4</v>
      </c>
      <c r="L52" s="2">
        <f t="shared" si="30"/>
        <v>0</v>
      </c>
      <c r="M52" s="2">
        <f t="shared" si="30"/>
        <v>970</v>
      </c>
      <c r="N52" s="2">
        <f t="shared" si="30"/>
        <v>0</v>
      </c>
      <c r="O52" s="65"/>
      <c r="P52" s="4"/>
    </row>
    <row r="53" spans="1:16" s="12" customFormat="1" ht="15.75">
      <c r="A53" s="60"/>
      <c r="B53" s="92"/>
      <c r="C53" s="72"/>
      <c r="D53" s="10" t="s">
        <v>102</v>
      </c>
      <c r="E53" s="2">
        <f t="shared" si="27"/>
        <v>111961.9</v>
      </c>
      <c r="F53" s="2">
        <f t="shared" si="27"/>
        <v>0</v>
      </c>
      <c r="G53" s="2">
        <f aca="true" t="shared" si="31" ref="G53:N53">G65+G91+G103</f>
        <v>63552.5</v>
      </c>
      <c r="H53" s="2">
        <f t="shared" si="31"/>
        <v>0</v>
      </c>
      <c r="I53" s="2">
        <f t="shared" si="31"/>
        <v>0</v>
      </c>
      <c r="J53" s="2">
        <f t="shared" si="31"/>
        <v>0</v>
      </c>
      <c r="K53" s="2">
        <f t="shared" si="31"/>
        <v>47439.4</v>
      </c>
      <c r="L53" s="2">
        <f t="shared" si="31"/>
        <v>0</v>
      </c>
      <c r="M53" s="2">
        <f t="shared" si="31"/>
        <v>970</v>
      </c>
      <c r="N53" s="2">
        <f t="shared" si="31"/>
        <v>0</v>
      </c>
      <c r="O53" s="65"/>
      <c r="P53" s="4"/>
    </row>
    <row r="54" spans="1:16" s="12" customFormat="1" ht="15.75">
      <c r="A54" s="60"/>
      <c r="B54" s="92"/>
      <c r="C54" s="73"/>
      <c r="D54" s="10" t="s">
        <v>103</v>
      </c>
      <c r="E54" s="2">
        <f t="shared" si="27"/>
        <v>111961.9</v>
      </c>
      <c r="F54" s="2">
        <f t="shared" si="27"/>
        <v>0</v>
      </c>
      <c r="G54" s="2">
        <f aca="true" t="shared" si="32" ref="G54:N54">G66+G92+G104</f>
        <v>63552.5</v>
      </c>
      <c r="H54" s="2">
        <f t="shared" si="32"/>
        <v>0</v>
      </c>
      <c r="I54" s="2">
        <f>I66+I92+I104</f>
        <v>0</v>
      </c>
      <c r="J54" s="2">
        <f t="shared" si="32"/>
        <v>0</v>
      </c>
      <c r="K54" s="2">
        <f t="shared" si="32"/>
        <v>47439.4</v>
      </c>
      <c r="L54" s="2">
        <f t="shared" si="32"/>
        <v>0</v>
      </c>
      <c r="M54" s="2">
        <f t="shared" si="32"/>
        <v>970</v>
      </c>
      <c r="N54" s="2">
        <f t="shared" si="32"/>
        <v>0</v>
      </c>
      <c r="O54" s="65"/>
      <c r="P54" s="4"/>
    </row>
    <row r="55" spans="1:16" s="12" customFormat="1" ht="15" customHeight="1">
      <c r="A55" s="60"/>
      <c r="B55" s="77" t="s">
        <v>22</v>
      </c>
      <c r="D55" s="1" t="s">
        <v>11</v>
      </c>
      <c r="E55" s="2">
        <f>SUM(E56:E66)</f>
        <v>1169571.0229999998</v>
      </c>
      <c r="F55" s="2">
        <f aca="true" t="shared" si="33" ref="F55:N55">SUM(F56:F66)</f>
        <v>593199.243</v>
      </c>
      <c r="G55" s="3">
        <f t="shared" si="33"/>
        <v>694796.0800000001</v>
      </c>
      <c r="H55" s="3">
        <f t="shared" si="33"/>
        <v>460278.80000000005</v>
      </c>
      <c r="I55" s="3">
        <f t="shared" si="33"/>
        <v>1212.8</v>
      </c>
      <c r="J55" s="3">
        <f t="shared" si="33"/>
        <v>0</v>
      </c>
      <c r="K55" s="3">
        <f t="shared" si="33"/>
        <v>460334.54300000006</v>
      </c>
      <c r="L55" s="3">
        <f>SUM(L56:L66)</f>
        <v>123572.843</v>
      </c>
      <c r="M55" s="3">
        <f t="shared" si="33"/>
        <v>13227.599999999999</v>
      </c>
      <c r="N55" s="3">
        <f t="shared" si="33"/>
        <v>9347.599999999999</v>
      </c>
      <c r="O55" s="65"/>
      <c r="P55" s="4"/>
    </row>
    <row r="56" spans="1:16" s="37" customFormat="1" ht="53.25" customHeight="1">
      <c r="A56" s="60"/>
      <c r="B56" s="77"/>
      <c r="C56" s="1" t="s">
        <v>70</v>
      </c>
      <c r="D56" s="1" t="s">
        <v>12</v>
      </c>
      <c r="E56" s="2">
        <f>G56+I56+K56+M56</f>
        <v>91017.1</v>
      </c>
      <c r="F56" s="2">
        <f>H56+J56+L56+N56</f>
        <v>73591</v>
      </c>
      <c r="G56" s="3">
        <f>17212+H56-1400-29.9</f>
        <v>68857.3</v>
      </c>
      <c r="H56" s="3">
        <f>53075.1+0.1</f>
        <v>53075.2</v>
      </c>
      <c r="I56" s="3">
        <v>0</v>
      </c>
      <c r="J56" s="3">
        <v>0</v>
      </c>
      <c r="K56" s="3">
        <f>1644+L56</f>
        <v>21229.3</v>
      </c>
      <c r="L56" s="3">
        <v>19585.3</v>
      </c>
      <c r="M56" s="3">
        <v>930.5</v>
      </c>
      <c r="N56" s="3">
        <f aca="true" t="shared" si="34" ref="N56:N61">M56</f>
        <v>930.5</v>
      </c>
      <c r="O56" s="65"/>
      <c r="P56" s="4"/>
    </row>
    <row r="57" spans="1:16" ht="54.75" customHeight="1">
      <c r="A57" s="60"/>
      <c r="B57" s="77"/>
      <c r="C57" s="1" t="s">
        <v>69</v>
      </c>
      <c r="D57" s="1" t="s">
        <v>13</v>
      </c>
      <c r="E57" s="2">
        <f aca="true" t="shared" si="35" ref="E57:F60">G57+I57+K57+M57</f>
        <v>84342.78</v>
      </c>
      <c r="F57" s="2">
        <f t="shared" si="35"/>
        <v>77737.7</v>
      </c>
      <c r="G57" s="3">
        <f>H57+650.58+892.5+250+300+900+552+330</f>
        <v>60403.08</v>
      </c>
      <c r="H57" s="3">
        <f>57048.6-H83-0.1+371.7+11.8+12-656</f>
        <v>56528</v>
      </c>
      <c r="I57" s="3">
        <v>577.5</v>
      </c>
      <c r="J57" s="3">
        <v>0</v>
      </c>
      <c r="K57" s="3">
        <f>1344+L57+808.5</f>
        <v>21556.5</v>
      </c>
      <c r="L57" s="3">
        <f>26596.1-8847.3+1655.2</f>
        <v>19404</v>
      </c>
      <c r="M57" s="3">
        <v>1805.7</v>
      </c>
      <c r="N57" s="3">
        <f t="shared" si="34"/>
        <v>1805.7</v>
      </c>
      <c r="O57" s="65"/>
      <c r="P57" s="4"/>
    </row>
    <row r="58" spans="1:16" ht="26.25" customHeight="1">
      <c r="A58" s="60"/>
      <c r="B58" s="77"/>
      <c r="C58" s="59" t="s">
        <v>86</v>
      </c>
      <c r="D58" s="1" t="s">
        <v>14</v>
      </c>
      <c r="E58" s="2">
        <f t="shared" si="35"/>
        <v>103006.24300000002</v>
      </c>
      <c r="F58" s="2">
        <f t="shared" si="35"/>
        <v>97282.14300000001</v>
      </c>
      <c r="G58" s="3">
        <f>H58+4199.4</f>
        <v>62837.3</v>
      </c>
      <c r="H58" s="3">
        <f>58855.9-H84+42</f>
        <v>58637.9</v>
      </c>
      <c r="I58" s="3">
        <v>635.3</v>
      </c>
      <c r="J58" s="3">
        <v>0</v>
      </c>
      <c r="K58" s="3">
        <f>L58+889.4</f>
        <v>38033.543</v>
      </c>
      <c r="L58" s="3">
        <f>38311.443-1167.3</f>
        <v>37144.143</v>
      </c>
      <c r="M58" s="3">
        <f>1500.1</f>
        <v>1500.1</v>
      </c>
      <c r="N58" s="3">
        <f t="shared" si="34"/>
        <v>1500.1</v>
      </c>
      <c r="O58" s="65"/>
      <c r="P58" s="4"/>
    </row>
    <row r="59" spans="1:16" ht="21" customHeight="1">
      <c r="A59" s="60"/>
      <c r="B59" s="77"/>
      <c r="C59" s="60"/>
      <c r="D59" s="1" t="s">
        <v>15</v>
      </c>
      <c r="E59" s="2">
        <f t="shared" si="35"/>
        <v>111869.00000000001</v>
      </c>
      <c r="F59" s="2">
        <f>H59+J59+L59+N59</f>
        <v>107888.1</v>
      </c>
      <c r="G59" s="3">
        <f aca="true" t="shared" si="36" ref="G59:G66">G58</f>
        <v>62837.3</v>
      </c>
      <c r="H59" s="3">
        <v>58856.4</v>
      </c>
      <c r="I59" s="3">
        <v>0</v>
      </c>
      <c r="J59" s="3">
        <v>0</v>
      </c>
      <c r="K59" s="3">
        <v>47439.4</v>
      </c>
      <c r="L59" s="3">
        <v>47439.4</v>
      </c>
      <c r="M59" s="3">
        <v>1592.3</v>
      </c>
      <c r="N59" s="3">
        <f t="shared" si="34"/>
        <v>1592.3</v>
      </c>
      <c r="O59" s="65"/>
      <c r="P59" s="4"/>
    </row>
    <row r="60" spans="1:16" ht="21" customHeight="1">
      <c r="A60" s="60"/>
      <c r="B60" s="77"/>
      <c r="C60" s="60"/>
      <c r="D60" s="1" t="s">
        <v>16</v>
      </c>
      <c r="E60" s="2">
        <f t="shared" si="35"/>
        <v>111855.70000000001</v>
      </c>
      <c r="F60" s="2">
        <f t="shared" si="35"/>
        <v>59918.5</v>
      </c>
      <c r="G60" s="3">
        <f t="shared" si="36"/>
        <v>62837.3</v>
      </c>
      <c r="H60" s="3">
        <f>58569.5-H86+30</f>
        <v>58339.5</v>
      </c>
      <c r="I60" s="3">
        <v>0</v>
      </c>
      <c r="J60" s="3">
        <v>0</v>
      </c>
      <c r="K60" s="3">
        <f aca="true" t="shared" si="37" ref="K60:K66">K59</f>
        <v>47439.4</v>
      </c>
      <c r="L60" s="3">
        <v>0</v>
      </c>
      <c r="M60" s="3">
        <v>1579</v>
      </c>
      <c r="N60" s="3">
        <f t="shared" si="34"/>
        <v>1579</v>
      </c>
      <c r="O60" s="65"/>
      <c r="P60" s="4"/>
    </row>
    <row r="61" spans="1:16" ht="21" customHeight="1">
      <c r="A61" s="60"/>
      <c r="B61" s="77"/>
      <c r="C61" s="60"/>
      <c r="D61" s="1" t="s">
        <v>17</v>
      </c>
      <c r="E61" s="2">
        <f aca="true" t="shared" si="38" ref="E61:F66">G61+I61+K61+M61</f>
        <v>111246.70000000001</v>
      </c>
      <c r="F61" s="2">
        <f t="shared" si="38"/>
        <v>59216.9</v>
      </c>
      <c r="G61" s="3">
        <f t="shared" si="36"/>
        <v>62837.3</v>
      </c>
      <c r="H61" s="3">
        <v>58246.9</v>
      </c>
      <c r="I61" s="3">
        <v>0</v>
      </c>
      <c r="J61" s="3">
        <v>0</v>
      </c>
      <c r="K61" s="3">
        <f t="shared" si="37"/>
        <v>47439.4</v>
      </c>
      <c r="L61" s="3">
        <v>0</v>
      </c>
      <c r="M61" s="3">
        <v>970</v>
      </c>
      <c r="N61" s="3">
        <f t="shared" si="34"/>
        <v>970</v>
      </c>
      <c r="O61" s="65"/>
      <c r="P61" s="4"/>
    </row>
    <row r="62" spans="1:16" ht="21" customHeight="1">
      <c r="A62" s="60"/>
      <c r="B62" s="77"/>
      <c r="C62" s="60"/>
      <c r="D62" s="1" t="s">
        <v>99</v>
      </c>
      <c r="E62" s="2">
        <f t="shared" si="38"/>
        <v>111246.70000000001</v>
      </c>
      <c r="F62" s="2">
        <f t="shared" si="38"/>
        <v>59216.9</v>
      </c>
      <c r="G62" s="3">
        <f t="shared" si="36"/>
        <v>62837.3</v>
      </c>
      <c r="H62" s="3">
        <f>H61</f>
        <v>58246.9</v>
      </c>
      <c r="I62" s="3">
        <v>0</v>
      </c>
      <c r="J62" s="3">
        <v>0</v>
      </c>
      <c r="K62" s="3">
        <f t="shared" si="37"/>
        <v>47439.4</v>
      </c>
      <c r="L62" s="3">
        <v>0</v>
      </c>
      <c r="M62" s="3">
        <f>M61</f>
        <v>970</v>
      </c>
      <c r="N62" s="3">
        <f>M62</f>
        <v>970</v>
      </c>
      <c r="O62" s="65"/>
      <c r="P62" s="4"/>
    </row>
    <row r="63" spans="1:16" ht="21" customHeight="1">
      <c r="A63" s="60"/>
      <c r="B63" s="77"/>
      <c r="C63" s="60"/>
      <c r="D63" s="1" t="s">
        <v>100</v>
      </c>
      <c r="E63" s="2">
        <f t="shared" si="38"/>
        <v>111246.70000000001</v>
      </c>
      <c r="F63" s="2">
        <f t="shared" si="38"/>
        <v>58348</v>
      </c>
      <c r="G63" s="3">
        <f t="shared" si="36"/>
        <v>62837.3</v>
      </c>
      <c r="H63" s="3">
        <v>58348</v>
      </c>
      <c r="I63" s="3">
        <v>0</v>
      </c>
      <c r="J63" s="3">
        <v>0</v>
      </c>
      <c r="K63" s="3">
        <f t="shared" si="37"/>
        <v>47439.4</v>
      </c>
      <c r="L63" s="3">
        <v>0</v>
      </c>
      <c r="M63" s="3">
        <f>M62</f>
        <v>970</v>
      </c>
      <c r="N63" s="3">
        <v>0</v>
      </c>
      <c r="O63" s="65"/>
      <c r="P63" s="4"/>
    </row>
    <row r="64" spans="1:16" ht="21" customHeight="1">
      <c r="A64" s="60"/>
      <c r="B64" s="77"/>
      <c r="C64" s="60"/>
      <c r="D64" s="1" t="s">
        <v>101</v>
      </c>
      <c r="E64" s="2">
        <f t="shared" si="38"/>
        <v>111246.70000000001</v>
      </c>
      <c r="F64" s="2">
        <f t="shared" si="38"/>
        <v>0</v>
      </c>
      <c r="G64" s="3">
        <f t="shared" si="36"/>
        <v>62837.3</v>
      </c>
      <c r="H64" s="3">
        <v>0</v>
      </c>
      <c r="I64" s="3">
        <v>0</v>
      </c>
      <c r="J64" s="3">
        <v>0</v>
      </c>
      <c r="K64" s="3">
        <f t="shared" si="37"/>
        <v>47439.4</v>
      </c>
      <c r="L64" s="3">
        <v>0</v>
      </c>
      <c r="M64" s="3">
        <f>M63</f>
        <v>970</v>
      </c>
      <c r="N64" s="3">
        <v>0</v>
      </c>
      <c r="O64" s="65"/>
      <c r="P64" s="4"/>
    </row>
    <row r="65" spans="1:16" ht="21" customHeight="1">
      <c r="A65" s="60"/>
      <c r="B65" s="77"/>
      <c r="C65" s="60"/>
      <c r="D65" s="1" t="s">
        <v>102</v>
      </c>
      <c r="E65" s="2">
        <f t="shared" si="38"/>
        <v>111246.70000000001</v>
      </c>
      <c r="F65" s="2">
        <f t="shared" si="38"/>
        <v>0</v>
      </c>
      <c r="G65" s="3">
        <f t="shared" si="36"/>
        <v>62837.3</v>
      </c>
      <c r="H65" s="3">
        <v>0</v>
      </c>
      <c r="I65" s="3">
        <v>0</v>
      </c>
      <c r="J65" s="3">
        <v>0</v>
      </c>
      <c r="K65" s="3">
        <f t="shared" si="37"/>
        <v>47439.4</v>
      </c>
      <c r="L65" s="3">
        <v>0</v>
      </c>
      <c r="M65" s="3">
        <f>M64</f>
        <v>970</v>
      </c>
      <c r="N65" s="3">
        <v>0</v>
      </c>
      <c r="O65" s="65"/>
      <c r="P65" s="4"/>
    </row>
    <row r="66" spans="1:16" ht="21" customHeight="1">
      <c r="A66" s="60"/>
      <c r="B66" s="77"/>
      <c r="C66" s="87"/>
      <c r="D66" s="1" t="s">
        <v>103</v>
      </c>
      <c r="E66" s="2">
        <f t="shared" si="38"/>
        <v>111246.70000000001</v>
      </c>
      <c r="F66" s="2">
        <f t="shared" si="38"/>
        <v>0</v>
      </c>
      <c r="G66" s="3">
        <f t="shared" si="36"/>
        <v>62837.3</v>
      </c>
      <c r="H66" s="3">
        <v>0</v>
      </c>
      <c r="I66" s="3">
        <v>0</v>
      </c>
      <c r="J66" s="3">
        <v>0</v>
      </c>
      <c r="K66" s="3">
        <f t="shared" si="37"/>
        <v>47439.4</v>
      </c>
      <c r="L66" s="3">
        <v>0</v>
      </c>
      <c r="M66" s="3">
        <f>M65</f>
        <v>970</v>
      </c>
      <c r="N66" s="3">
        <v>0</v>
      </c>
      <c r="O66" s="65"/>
      <c r="P66" s="4"/>
    </row>
    <row r="67" spans="1:16" ht="15.75">
      <c r="A67" s="60"/>
      <c r="B67" s="77" t="s">
        <v>23</v>
      </c>
      <c r="C67" s="59"/>
      <c r="D67" s="1" t="s">
        <v>11</v>
      </c>
      <c r="E67" s="2">
        <f>SUM(E68:E73)</f>
        <v>3398</v>
      </c>
      <c r="F67" s="2">
        <f aca="true" t="shared" si="39" ref="F67:L67">SUM(F68:F73)</f>
        <v>80</v>
      </c>
      <c r="G67" s="3">
        <f t="shared" si="39"/>
        <v>2058</v>
      </c>
      <c r="H67" s="3">
        <f t="shared" si="39"/>
        <v>0</v>
      </c>
      <c r="I67" s="3">
        <f>SUM(I68:I73)</f>
        <v>525</v>
      </c>
      <c r="J67" s="3">
        <f>SUM(J68:J73)</f>
        <v>0</v>
      </c>
      <c r="K67" s="3">
        <f t="shared" si="39"/>
        <v>735</v>
      </c>
      <c r="L67" s="3">
        <f t="shared" si="39"/>
        <v>0</v>
      </c>
      <c r="M67" s="3">
        <f>SUM(M68:M73)</f>
        <v>80</v>
      </c>
      <c r="N67" s="3">
        <f>SUM(N68:N73)</f>
        <v>80</v>
      </c>
      <c r="O67" s="65"/>
      <c r="P67" s="4"/>
    </row>
    <row r="68" spans="1:16" s="28" customFormat="1" ht="24" customHeight="1">
      <c r="A68" s="60"/>
      <c r="B68" s="77"/>
      <c r="C68" s="60"/>
      <c r="D68" s="1" t="s">
        <v>12</v>
      </c>
      <c r="E68" s="2">
        <f>G68+I68+K68+M68</f>
        <v>3398</v>
      </c>
      <c r="F68" s="2">
        <f>H68+J68+L68+N68</f>
        <v>80</v>
      </c>
      <c r="G68" s="3">
        <v>2058</v>
      </c>
      <c r="H68" s="3">
        <v>0</v>
      </c>
      <c r="I68" s="3">
        <v>525</v>
      </c>
      <c r="J68" s="3"/>
      <c r="K68" s="3">
        <f>735</f>
        <v>735</v>
      </c>
      <c r="L68" s="3">
        <v>0</v>
      </c>
      <c r="M68" s="3">
        <v>80</v>
      </c>
      <c r="N68" s="3">
        <f>M68</f>
        <v>80</v>
      </c>
      <c r="O68" s="65"/>
      <c r="P68" s="4"/>
    </row>
    <row r="69" spans="1:16" ht="39.75" customHeight="1">
      <c r="A69" s="60"/>
      <c r="B69" s="77"/>
      <c r="C69" s="60"/>
      <c r="D69" s="1" t="s">
        <v>13</v>
      </c>
      <c r="E69" s="61" t="s">
        <v>108</v>
      </c>
      <c r="F69" s="62"/>
      <c r="G69" s="62"/>
      <c r="H69" s="62"/>
      <c r="I69" s="62"/>
      <c r="J69" s="62"/>
      <c r="K69" s="62"/>
      <c r="L69" s="62"/>
      <c r="M69" s="62"/>
      <c r="N69" s="63"/>
      <c r="O69" s="65"/>
      <c r="P69" s="4"/>
    </row>
    <row r="70" spans="1:16" ht="15" customHeight="1" hidden="1">
      <c r="A70" s="60"/>
      <c r="B70" s="77"/>
      <c r="C70" s="15"/>
      <c r="D70" s="1" t="s">
        <v>14</v>
      </c>
      <c r="E70" s="78"/>
      <c r="F70" s="79"/>
      <c r="G70" s="79"/>
      <c r="H70" s="79"/>
      <c r="I70" s="79"/>
      <c r="J70" s="79"/>
      <c r="K70" s="79"/>
      <c r="L70" s="79"/>
      <c r="M70" s="79"/>
      <c r="N70" s="80"/>
      <c r="O70" s="65"/>
      <c r="P70" s="4"/>
    </row>
    <row r="71" spans="1:16" ht="15" customHeight="1" hidden="1">
      <c r="A71" s="60"/>
      <c r="B71" s="77"/>
      <c r="C71" s="15"/>
      <c r="D71" s="1" t="s">
        <v>15</v>
      </c>
      <c r="E71" s="78"/>
      <c r="F71" s="79"/>
      <c r="G71" s="79"/>
      <c r="H71" s="79"/>
      <c r="I71" s="79"/>
      <c r="J71" s="79"/>
      <c r="K71" s="79"/>
      <c r="L71" s="79"/>
      <c r="M71" s="79"/>
      <c r="N71" s="80"/>
      <c r="O71" s="65"/>
      <c r="P71" s="4"/>
    </row>
    <row r="72" spans="1:16" ht="15" customHeight="1" hidden="1">
      <c r="A72" s="60"/>
      <c r="B72" s="77"/>
      <c r="C72" s="15"/>
      <c r="D72" s="1" t="s">
        <v>16</v>
      </c>
      <c r="E72" s="78"/>
      <c r="F72" s="79"/>
      <c r="G72" s="79"/>
      <c r="H72" s="79"/>
      <c r="I72" s="79"/>
      <c r="J72" s="79"/>
      <c r="K72" s="79"/>
      <c r="L72" s="79"/>
      <c r="M72" s="79"/>
      <c r="N72" s="80"/>
      <c r="O72" s="65"/>
      <c r="P72" s="4"/>
    </row>
    <row r="73" spans="1:16" ht="15" customHeight="1" hidden="1">
      <c r="A73" s="60"/>
      <c r="B73" s="77"/>
      <c r="C73" s="15"/>
      <c r="D73" s="1" t="s">
        <v>17</v>
      </c>
      <c r="E73" s="81"/>
      <c r="F73" s="82"/>
      <c r="G73" s="82"/>
      <c r="H73" s="82"/>
      <c r="I73" s="82"/>
      <c r="J73" s="82"/>
      <c r="K73" s="82"/>
      <c r="L73" s="82"/>
      <c r="M73" s="82"/>
      <c r="N73" s="83"/>
      <c r="O73" s="65"/>
      <c r="P73" s="4"/>
    </row>
    <row r="74" spans="1:16" ht="15" customHeight="1" hidden="1">
      <c r="A74" s="60"/>
      <c r="B74" s="77" t="s">
        <v>37</v>
      </c>
      <c r="C74" s="15"/>
      <c r="D74" s="1" t="s">
        <v>11</v>
      </c>
      <c r="E74" s="2">
        <f>SUM(E75:E80)</f>
        <v>0</v>
      </c>
      <c r="F74" s="2">
        <f aca="true" t="shared" si="40" ref="F74:N74">SUM(F75:F80)</f>
        <v>0</v>
      </c>
      <c r="G74" s="3">
        <f t="shared" si="40"/>
        <v>0</v>
      </c>
      <c r="H74" s="3">
        <f t="shared" si="40"/>
        <v>0</v>
      </c>
      <c r="I74" s="3">
        <f t="shared" si="40"/>
        <v>0</v>
      </c>
      <c r="J74" s="3">
        <f t="shared" si="40"/>
        <v>0</v>
      </c>
      <c r="K74" s="3">
        <f t="shared" si="40"/>
        <v>0</v>
      </c>
      <c r="L74" s="3">
        <f t="shared" si="40"/>
        <v>0</v>
      </c>
      <c r="M74" s="3">
        <f t="shared" si="40"/>
        <v>0</v>
      </c>
      <c r="N74" s="3">
        <f t="shared" si="40"/>
        <v>0</v>
      </c>
      <c r="O74" s="65"/>
      <c r="P74" s="4"/>
    </row>
    <row r="75" spans="1:16" s="28" customFormat="1" ht="15" customHeight="1" hidden="1">
      <c r="A75" s="60"/>
      <c r="B75" s="77"/>
      <c r="C75" s="15"/>
      <c r="D75" s="1" t="s">
        <v>12</v>
      </c>
      <c r="E75" s="2">
        <f aca="true" t="shared" si="41" ref="E75:F80">G75+I75+K75+M75</f>
        <v>0</v>
      </c>
      <c r="F75" s="2">
        <f t="shared" si="41"/>
        <v>0</v>
      </c>
      <c r="G75" s="3"/>
      <c r="H75" s="3"/>
      <c r="I75" s="3"/>
      <c r="J75" s="3"/>
      <c r="K75" s="3"/>
      <c r="L75" s="3"/>
      <c r="M75" s="3"/>
      <c r="N75" s="3"/>
      <c r="O75" s="65"/>
      <c r="P75" s="4"/>
    </row>
    <row r="76" spans="1:16" ht="15" customHeight="1" hidden="1">
      <c r="A76" s="60"/>
      <c r="B76" s="77"/>
      <c r="C76" s="15"/>
      <c r="D76" s="1" t="s">
        <v>13</v>
      </c>
      <c r="E76" s="2">
        <f t="shared" si="41"/>
        <v>0</v>
      </c>
      <c r="F76" s="2">
        <f t="shared" si="41"/>
        <v>0</v>
      </c>
      <c r="G76" s="3"/>
      <c r="H76" s="3"/>
      <c r="I76" s="3"/>
      <c r="J76" s="3"/>
      <c r="K76" s="3"/>
      <c r="L76" s="3"/>
      <c r="M76" s="3"/>
      <c r="N76" s="3"/>
      <c r="O76" s="65"/>
      <c r="P76" s="4"/>
    </row>
    <row r="77" spans="1:16" ht="15" customHeight="1" hidden="1">
      <c r="A77" s="60"/>
      <c r="B77" s="77"/>
      <c r="C77" s="15"/>
      <c r="D77" s="1" t="s">
        <v>14</v>
      </c>
      <c r="E77" s="2">
        <f t="shared" si="41"/>
        <v>0</v>
      </c>
      <c r="F77" s="2">
        <f t="shared" si="41"/>
        <v>0</v>
      </c>
      <c r="G77" s="3"/>
      <c r="H77" s="3"/>
      <c r="I77" s="3"/>
      <c r="J77" s="3"/>
      <c r="K77" s="3"/>
      <c r="L77" s="3"/>
      <c r="M77" s="3"/>
      <c r="N77" s="3"/>
      <c r="O77" s="65"/>
      <c r="P77" s="4"/>
    </row>
    <row r="78" spans="1:16" ht="15" customHeight="1" hidden="1">
      <c r="A78" s="60"/>
      <c r="B78" s="77"/>
      <c r="C78" s="15"/>
      <c r="D78" s="1" t="s">
        <v>15</v>
      </c>
      <c r="E78" s="2">
        <f t="shared" si="41"/>
        <v>0</v>
      </c>
      <c r="F78" s="2">
        <f t="shared" si="41"/>
        <v>0</v>
      </c>
      <c r="G78" s="3"/>
      <c r="H78" s="3"/>
      <c r="I78" s="3"/>
      <c r="J78" s="3"/>
      <c r="K78" s="3"/>
      <c r="L78" s="3"/>
      <c r="M78" s="3"/>
      <c r="N78" s="3"/>
      <c r="O78" s="65"/>
      <c r="P78" s="4"/>
    </row>
    <row r="79" spans="1:16" ht="15" customHeight="1" hidden="1">
      <c r="A79" s="60"/>
      <c r="B79" s="77"/>
      <c r="C79" s="15"/>
      <c r="D79" s="1" t="s">
        <v>16</v>
      </c>
      <c r="E79" s="2">
        <f t="shared" si="41"/>
        <v>0</v>
      </c>
      <c r="F79" s="2">
        <f t="shared" si="41"/>
        <v>0</v>
      </c>
      <c r="G79" s="3"/>
      <c r="H79" s="3"/>
      <c r="I79" s="3"/>
      <c r="J79" s="3"/>
      <c r="K79" s="3"/>
      <c r="L79" s="3"/>
      <c r="M79" s="3"/>
      <c r="N79" s="3"/>
      <c r="O79" s="65"/>
      <c r="P79" s="4"/>
    </row>
    <row r="80" spans="1:16" ht="15" customHeight="1" hidden="1">
      <c r="A80" s="60"/>
      <c r="B80" s="77"/>
      <c r="C80" s="15"/>
      <c r="D80" s="1" t="s">
        <v>17</v>
      </c>
      <c r="E80" s="2">
        <f t="shared" si="41"/>
        <v>0</v>
      </c>
      <c r="F80" s="2">
        <f t="shared" si="41"/>
        <v>0</v>
      </c>
      <c r="G80" s="3"/>
      <c r="H80" s="3"/>
      <c r="I80" s="3"/>
      <c r="J80" s="3"/>
      <c r="K80" s="3"/>
      <c r="L80" s="3"/>
      <c r="M80" s="3"/>
      <c r="N80" s="3"/>
      <c r="O80" s="65"/>
      <c r="P80" s="4"/>
    </row>
    <row r="81" spans="1:16" ht="15" customHeight="1">
      <c r="A81" s="60"/>
      <c r="B81" s="89" t="s">
        <v>39</v>
      </c>
      <c r="C81" s="16"/>
      <c r="D81" s="1" t="s">
        <v>11</v>
      </c>
      <c r="E81" s="2">
        <f>SUM(E82:E92)</f>
        <v>6546</v>
      </c>
      <c r="F81" s="2">
        <f aca="true" t="shared" si="42" ref="F81:N81">SUM(F82:F92)</f>
        <v>1640</v>
      </c>
      <c r="G81" s="2">
        <f t="shared" si="42"/>
        <v>6466</v>
      </c>
      <c r="H81" s="2">
        <f t="shared" si="42"/>
        <v>1560</v>
      </c>
      <c r="I81" s="2">
        <f t="shared" si="42"/>
        <v>0</v>
      </c>
      <c r="J81" s="2">
        <f t="shared" si="42"/>
        <v>0</v>
      </c>
      <c r="K81" s="2">
        <f t="shared" si="42"/>
        <v>0</v>
      </c>
      <c r="L81" s="2">
        <f t="shared" si="42"/>
        <v>0</v>
      </c>
      <c r="M81" s="2">
        <f t="shared" si="42"/>
        <v>80</v>
      </c>
      <c r="N81" s="2">
        <f t="shared" si="42"/>
        <v>80</v>
      </c>
      <c r="O81" s="65"/>
      <c r="P81" s="4"/>
    </row>
    <row r="82" spans="1:16" s="28" customFormat="1" ht="15.75">
      <c r="A82" s="60"/>
      <c r="B82" s="90"/>
      <c r="C82" s="15"/>
      <c r="D82" s="1" t="s">
        <v>12</v>
      </c>
      <c r="E82" s="2">
        <f aca="true" t="shared" si="43" ref="E82:F86">G82+I82+K82+M82</f>
        <v>340</v>
      </c>
      <c r="F82" s="2">
        <f t="shared" si="43"/>
        <v>80</v>
      </c>
      <c r="G82" s="3">
        <v>260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80</v>
      </c>
      <c r="N82" s="3">
        <f>M82</f>
        <v>80</v>
      </c>
      <c r="O82" s="65"/>
      <c r="P82" s="4"/>
    </row>
    <row r="83" spans="1:28" ht="15.75">
      <c r="A83" s="60"/>
      <c r="B83" s="90"/>
      <c r="C83" s="88" t="s">
        <v>83</v>
      </c>
      <c r="D83" s="1" t="s">
        <v>13</v>
      </c>
      <c r="E83" s="2">
        <f t="shared" si="43"/>
        <v>1220</v>
      </c>
      <c r="F83" s="2">
        <f t="shared" si="43"/>
        <v>260</v>
      </c>
      <c r="G83" s="3">
        <f>H83+960</f>
        <v>1220</v>
      </c>
      <c r="H83" s="3">
        <v>260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65"/>
      <c r="P83" s="4"/>
      <c r="AB83" s="38"/>
    </row>
    <row r="84" spans="1:16" ht="15" customHeight="1">
      <c r="A84" s="60"/>
      <c r="B84" s="90"/>
      <c r="C84" s="88"/>
      <c r="D84" s="1" t="s">
        <v>14</v>
      </c>
      <c r="E84" s="2">
        <f t="shared" si="43"/>
        <v>554</v>
      </c>
      <c r="F84" s="2">
        <f t="shared" si="43"/>
        <v>260</v>
      </c>
      <c r="G84" s="3">
        <f>H84+294</f>
        <v>554</v>
      </c>
      <c r="H84" s="3">
        <v>260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65"/>
      <c r="P84" s="4"/>
    </row>
    <row r="85" spans="1:16" ht="15.75">
      <c r="A85" s="60"/>
      <c r="B85" s="90"/>
      <c r="C85" s="88"/>
      <c r="D85" s="1" t="s">
        <v>15</v>
      </c>
      <c r="E85" s="2">
        <f t="shared" si="43"/>
        <v>554</v>
      </c>
      <c r="F85" s="2">
        <f t="shared" si="43"/>
        <v>0</v>
      </c>
      <c r="G85" s="3">
        <f aca="true" t="shared" si="44" ref="G85:G92">G84</f>
        <v>554</v>
      </c>
      <c r="H85" s="3">
        <f>260-260</f>
        <v>0</v>
      </c>
      <c r="I85" s="3">
        <v>0</v>
      </c>
      <c r="J85" s="3">
        <v>0</v>
      </c>
      <c r="K85" s="3">
        <v>0</v>
      </c>
      <c r="L85" s="3">
        <v>0</v>
      </c>
      <c r="M85" s="3">
        <f>1.1*M84</f>
        <v>0</v>
      </c>
      <c r="N85" s="3">
        <v>0</v>
      </c>
      <c r="O85" s="65"/>
      <c r="P85" s="4"/>
    </row>
    <row r="86" spans="1:16" ht="15.75">
      <c r="A86" s="60"/>
      <c r="B86" s="90"/>
      <c r="C86" s="88"/>
      <c r="D86" s="1" t="s">
        <v>16</v>
      </c>
      <c r="E86" s="2">
        <f t="shared" si="43"/>
        <v>554</v>
      </c>
      <c r="F86" s="2">
        <f t="shared" si="43"/>
        <v>260</v>
      </c>
      <c r="G86" s="3">
        <f t="shared" si="44"/>
        <v>554</v>
      </c>
      <c r="H86" s="3">
        <v>260</v>
      </c>
      <c r="I86" s="3">
        <v>0</v>
      </c>
      <c r="J86" s="3">
        <v>0</v>
      </c>
      <c r="K86" s="3">
        <v>0</v>
      </c>
      <c r="L86" s="3">
        <v>0</v>
      </c>
      <c r="M86" s="3">
        <f>1.1*M85</f>
        <v>0</v>
      </c>
      <c r="N86" s="3">
        <v>0</v>
      </c>
      <c r="O86" s="65"/>
      <c r="P86" s="4"/>
    </row>
    <row r="87" spans="1:16" ht="15.75">
      <c r="A87" s="60"/>
      <c r="B87" s="90"/>
      <c r="C87" s="88"/>
      <c r="D87" s="1" t="s">
        <v>17</v>
      </c>
      <c r="E87" s="2">
        <f aca="true" t="shared" si="45" ref="E87:F92">G87+I87+K87+M87</f>
        <v>554</v>
      </c>
      <c r="F87" s="2">
        <f t="shared" si="45"/>
        <v>260</v>
      </c>
      <c r="G87" s="3">
        <f t="shared" si="44"/>
        <v>554</v>
      </c>
      <c r="H87" s="3">
        <v>260</v>
      </c>
      <c r="I87" s="3">
        <v>0</v>
      </c>
      <c r="J87" s="3">
        <v>0</v>
      </c>
      <c r="K87" s="3">
        <v>0</v>
      </c>
      <c r="L87" s="3">
        <v>0</v>
      </c>
      <c r="M87" s="3">
        <f>1.1*M86</f>
        <v>0</v>
      </c>
      <c r="N87" s="3">
        <v>0</v>
      </c>
      <c r="O87" s="65"/>
      <c r="P87" s="4"/>
    </row>
    <row r="88" spans="1:16" ht="15.75">
      <c r="A88" s="60"/>
      <c r="B88" s="90"/>
      <c r="C88" s="88"/>
      <c r="D88" s="1" t="s">
        <v>99</v>
      </c>
      <c r="E88" s="2">
        <f t="shared" si="45"/>
        <v>554</v>
      </c>
      <c r="F88" s="2">
        <f t="shared" si="45"/>
        <v>260</v>
      </c>
      <c r="G88" s="3">
        <f t="shared" si="44"/>
        <v>554</v>
      </c>
      <c r="H88" s="3">
        <f>H87</f>
        <v>260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65"/>
      <c r="P88" s="4"/>
    </row>
    <row r="89" spans="1:16" ht="15.75">
      <c r="A89" s="60"/>
      <c r="B89" s="90"/>
      <c r="C89" s="88"/>
      <c r="D89" s="1" t="s">
        <v>100</v>
      </c>
      <c r="E89" s="2">
        <f t="shared" si="45"/>
        <v>554</v>
      </c>
      <c r="F89" s="2">
        <f t="shared" si="45"/>
        <v>260</v>
      </c>
      <c r="G89" s="3">
        <f t="shared" si="44"/>
        <v>554</v>
      </c>
      <c r="H89" s="3">
        <v>260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65"/>
      <c r="P89" s="4"/>
    </row>
    <row r="90" spans="1:16" ht="15.75">
      <c r="A90" s="60"/>
      <c r="B90" s="90"/>
      <c r="C90" s="88"/>
      <c r="D90" s="1" t="s">
        <v>101</v>
      </c>
      <c r="E90" s="2">
        <f t="shared" si="45"/>
        <v>554</v>
      </c>
      <c r="F90" s="2">
        <f t="shared" si="45"/>
        <v>0</v>
      </c>
      <c r="G90" s="3">
        <f t="shared" si="44"/>
        <v>554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65"/>
      <c r="P90" s="4"/>
    </row>
    <row r="91" spans="1:16" ht="15.75">
      <c r="A91" s="60"/>
      <c r="B91" s="90"/>
      <c r="C91" s="88"/>
      <c r="D91" s="1" t="s">
        <v>102</v>
      </c>
      <c r="E91" s="2">
        <f t="shared" si="45"/>
        <v>554</v>
      </c>
      <c r="F91" s="2">
        <f t="shared" si="45"/>
        <v>0</v>
      </c>
      <c r="G91" s="3">
        <f t="shared" si="44"/>
        <v>554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65"/>
      <c r="P91" s="4"/>
    </row>
    <row r="92" spans="1:16" ht="15.75">
      <c r="A92" s="60"/>
      <c r="B92" s="91"/>
      <c r="C92" s="88"/>
      <c r="D92" s="1" t="s">
        <v>103</v>
      </c>
      <c r="E92" s="2">
        <f t="shared" si="45"/>
        <v>554</v>
      </c>
      <c r="F92" s="2">
        <f t="shared" si="45"/>
        <v>0</v>
      </c>
      <c r="G92" s="3">
        <f t="shared" si="44"/>
        <v>554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65"/>
      <c r="P92" s="4"/>
    </row>
    <row r="93" spans="1:16" ht="15.75" customHeight="1">
      <c r="A93" s="60"/>
      <c r="B93" s="89" t="s">
        <v>41</v>
      </c>
      <c r="D93" s="1" t="s">
        <v>11</v>
      </c>
      <c r="E93" s="2">
        <f>SUM(E94:E104)</f>
        <v>1754.6000000000004</v>
      </c>
      <c r="F93" s="2">
        <f aca="true" t="shared" si="46" ref="F93:N93">SUM(F94:F104)</f>
        <v>1264.8000000000002</v>
      </c>
      <c r="G93" s="2">
        <f t="shared" si="46"/>
        <v>1754.6000000000004</v>
      </c>
      <c r="H93" s="2">
        <f t="shared" si="46"/>
        <v>1264.8000000000002</v>
      </c>
      <c r="I93" s="2">
        <f t="shared" si="46"/>
        <v>0</v>
      </c>
      <c r="J93" s="2">
        <f t="shared" si="46"/>
        <v>0</v>
      </c>
      <c r="K93" s="2">
        <f t="shared" si="46"/>
        <v>0</v>
      </c>
      <c r="L93" s="2">
        <f t="shared" si="46"/>
        <v>0</v>
      </c>
      <c r="M93" s="2">
        <f t="shared" si="46"/>
        <v>0</v>
      </c>
      <c r="N93" s="2">
        <f t="shared" si="46"/>
        <v>0</v>
      </c>
      <c r="O93" s="65"/>
      <c r="P93" s="4"/>
    </row>
    <row r="94" spans="1:16" ht="30.75" customHeight="1">
      <c r="A94" s="60"/>
      <c r="B94" s="90"/>
      <c r="C94" s="17" t="s">
        <v>71</v>
      </c>
      <c r="D94" s="1" t="s">
        <v>12</v>
      </c>
      <c r="E94" s="2">
        <f aca="true" t="shared" si="47" ref="E94:F98">G94+I94+K94+M94</f>
        <v>155</v>
      </c>
      <c r="F94" s="2">
        <f t="shared" si="47"/>
        <v>155</v>
      </c>
      <c r="G94" s="3">
        <v>155</v>
      </c>
      <c r="H94" s="3">
        <v>155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65"/>
      <c r="P94" s="4"/>
    </row>
    <row r="95" spans="1:16" ht="24.75" customHeight="1">
      <c r="A95" s="60"/>
      <c r="B95" s="90"/>
      <c r="C95" s="52" t="s">
        <v>55</v>
      </c>
      <c r="D95" s="1" t="s">
        <v>13</v>
      </c>
      <c r="E95" s="2">
        <f t="shared" si="47"/>
        <v>155</v>
      </c>
      <c r="F95" s="2">
        <f t="shared" si="47"/>
        <v>155</v>
      </c>
      <c r="G95" s="3">
        <v>155</v>
      </c>
      <c r="H95" s="3">
        <v>155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65"/>
      <c r="P95" s="4"/>
    </row>
    <row r="96" spans="1:16" ht="26.25" customHeight="1">
      <c r="A96" s="60"/>
      <c r="B96" s="90"/>
      <c r="C96" s="53"/>
      <c r="D96" s="1" t="s">
        <v>14</v>
      </c>
      <c r="E96" s="2">
        <f t="shared" si="47"/>
        <v>155</v>
      </c>
      <c r="F96" s="2">
        <f t="shared" si="47"/>
        <v>155</v>
      </c>
      <c r="G96" s="3">
        <v>155</v>
      </c>
      <c r="H96" s="3">
        <v>155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65"/>
      <c r="P96" s="4"/>
    </row>
    <row r="97" spans="1:16" ht="15.75">
      <c r="A97" s="60"/>
      <c r="B97" s="90"/>
      <c r="C97" s="53"/>
      <c r="D97" s="1" t="s">
        <v>15</v>
      </c>
      <c r="E97" s="2">
        <f t="shared" si="47"/>
        <v>161.2</v>
      </c>
      <c r="F97" s="2">
        <f t="shared" si="47"/>
        <v>161.2</v>
      </c>
      <c r="G97" s="3">
        <f>H97</f>
        <v>161.2</v>
      </c>
      <c r="H97" s="3">
        <v>161.2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65"/>
      <c r="P97" s="4"/>
    </row>
    <row r="98" spans="1:16" ht="15.75">
      <c r="A98" s="60"/>
      <c r="B98" s="90"/>
      <c r="C98" s="53"/>
      <c r="D98" s="1" t="s">
        <v>16</v>
      </c>
      <c r="E98" s="2">
        <f t="shared" si="47"/>
        <v>161.2</v>
      </c>
      <c r="F98" s="2">
        <f t="shared" si="47"/>
        <v>161.2</v>
      </c>
      <c r="G98" s="3">
        <f>G97</f>
        <v>161.2</v>
      </c>
      <c r="H98" s="3">
        <v>161.2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65"/>
      <c r="P98" s="4"/>
    </row>
    <row r="99" spans="1:16" ht="15.75">
      <c r="A99" s="60"/>
      <c r="B99" s="90"/>
      <c r="C99" s="53"/>
      <c r="D99" s="1" t="s">
        <v>17</v>
      </c>
      <c r="E99" s="2">
        <f aca="true" t="shared" si="48" ref="E99:F104">G99+I99+K99+M99</f>
        <v>161.2</v>
      </c>
      <c r="F99" s="2">
        <f t="shared" si="48"/>
        <v>161.2</v>
      </c>
      <c r="G99" s="3">
        <f aca="true" t="shared" si="49" ref="G99:G104">G98</f>
        <v>161.2</v>
      </c>
      <c r="H99" s="3">
        <v>161.2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65"/>
      <c r="P99" s="4"/>
    </row>
    <row r="100" spans="1:16" ht="15.75">
      <c r="A100" s="60"/>
      <c r="B100" s="90"/>
      <c r="C100" s="53"/>
      <c r="D100" s="1" t="s">
        <v>99</v>
      </c>
      <c r="E100" s="2">
        <f t="shared" si="48"/>
        <v>161.2</v>
      </c>
      <c r="F100" s="2">
        <f t="shared" si="48"/>
        <v>161.2</v>
      </c>
      <c r="G100" s="3">
        <f t="shared" si="49"/>
        <v>161.2</v>
      </c>
      <c r="H100" s="3">
        <f>H99</f>
        <v>161.2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65"/>
      <c r="P100" s="4"/>
    </row>
    <row r="101" spans="1:16" ht="15.75">
      <c r="A101" s="60"/>
      <c r="B101" s="90"/>
      <c r="C101" s="53"/>
      <c r="D101" s="1" t="s">
        <v>100</v>
      </c>
      <c r="E101" s="2">
        <f t="shared" si="48"/>
        <v>161.2</v>
      </c>
      <c r="F101" s="2">
        <f t="shared" si="48"/>
        <v>155</v>
      </c>
      <c r="G101" s="3">
        <f t="shared" si="49"/>
        <v>161.2</v>
      </c>
      <c r="H101" s="3">
        <v>155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65"/>
      <c r="P101" s="4"/>
    </row>
    <row r="102" spans="1:16" ht="15.75">
      <c r="A102" s="60"/>
      <c r="B102" s="90"/>
      <c r="C102" s="53"/>
      <c r="D102" s="1" t="s">
        <v>101</v>
      </c>
      <c r="E102" s="2">
        <f t="shared" si="48"/>
        <v>161.2</v>
      </c>
      <c r="F102" s="2">
        <f t="shared" si="48"/>
        <v>0</v>
      </c>
      <c r="G102" s="3">
        <f t="shared" si="49"/>
        <v>161.2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65"/>
      <c r="P102" s="4"/>
    </row>
    <row r="103" spans="1:16" ht="15.75">
      <c r="A103" s="60"/>
      <c r="B103" s="90"/>
      <c r="C103" s="53"/>
      <c r="D103" s="1" t="s">
        <v>102</v>
      </c>
      <c r="E103" s="2">
        <f t="shared" si="48"/>
        <v>161.2</v>
      </c>
      <c r="F103" s="2">
        <f t="shared" si="48"/>
        <v>0</v>
      </c>
      <c r="G103" s="3">
        <f t="shared" si="49"/>
        <v>161.2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65"/>
      <c r="P103" s="4"/>
    </row>
    <row r="104" spans="1:16" ht="15.75">
      <c r="A104" s="60"/>
      <c r="B104" s="91"/>
      <c r="C104" s="54"/>
      <c r="D104" s="1" t="s">
        <v>103</v>
      </c>
      <c r="E104" s="2">
        <f t="shared" si="48"/>
        <v>161.2</v>
      </c>
      <c r="F104" s="2">
        <f t="shared" si="48"/>
        <v>0</v>
      </c>
      <c r="G104" s="3">
        <f t="shared" si="49"/>
        <v>161.2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66"/>
      <c r="P104" s="4"/>
    </row>
    <row r="105" spans="1:16" ht="15.75">
      <c r="A105" s="96" t="s">
        <v>49</v>
      </c>
      <c r="B105" s="14" t="s">
        <v>44</v>
      </c>
      <c r="C105" s="10"/>
      <c r="D105" s="10" t="s">
        <v>11</v>
      </c>
      <c r="E105" s="18">
        <f>SUM(E106:E116)</f>
        <v>245112.92000000007</v>
      </c>
      <c r="F105" s="18">
        <f aca="true" t="shared" si="50" ref="F105:N105">SUM(F106:F116)</f>
        <v>137601.12</v>
      </c>
      <c r="G105" s="18">
        <f t="shared" si="50"/>
        <v>111617.19999999998</v>
      </c>
      <c r="H105" s="18">
        <f t="shared" si="50"/>
        <v>67491.00000000001</v>
      </c>
      <c r="I105" s="18">
        <f t="shared" si="50"/>
        <v>0</v>
      </c>
      <c r="J105" s="18">
        <f t="shared" si="50"/>
        <v>0</v>
      </c>
      <c r="K105" s="18">
        <f t="shared" si="50"/>
        <v>44213.920000000006</v>
      </c>
      <c r="L105" s="18">
        <f>SUM(L106:L116)</f>
        <v>10828.32</v>
      </c>
      <c r="M105" s="18">
        <f t="shared" si="50"/>
        <v>89281.79999999999</v>
      </c>
      <c r="N105" s="18">
        <f t="shared" si="50"/>
        <v>59281.799999999996</v>
      </c>
      <c r="O105" s="64" t="s">
        <v>88</v>
      </c>
      <c r="P105" s="4"/>
    </row>
    <row r="106" spans="1:16" s="12" customFormat="1" ht="36.75" customHeight="1">
      <c r="A106" s="96"/>
      <c r="B106" s="93" t="s">
        <v>106</v>
      </c>
      <c r="C106" s="10" t="s">
        <v>68</v>
      </c>
      <c r="D106" s="10" t="s">
        <v>12</v>
      </c>
      <c r="E106" s="2">
        <f>G106+I106+K106+M106</f>
        <v>18924</v>
      </c>
      <c r="F106" s="2">
        <f aca="true" t="shared" si="51" ref="E106:F110">H106+J106+L106+N106</f>
        <v>17923.5</v>
      </c>
      <c r="G106" s="2">
        <f>G118+G130+G137</f>
        <v>8382.8</v>
      </c>
      <c r="H106" s="2">
        <f>H118+H130+H137</f>
        <v>7582.3</v>
      </c>
      <c r="I106" s="2">
        <f>I118+I130</f>
        <v>0</v>
      </c>
      <c r="J106" s="2">
        <f>J118+J130</f>
        <v>0</v>
      </c>
      <c r="K106" s="2">
        <f aca="true" t="shared" si="52" ref="K106:N111">K118+K130</f>
        <v>1841.2</v>
      </c>
      <c r="L106" s="2">
        <f t="shared" si="52"/>
        <v>1641.2</v>
      </c>
      <c r="M106" s="2">
        <f t="shared" si="52"/>
        <v>8700</v>
      </c>
      <c r="N106" s="2">
        <f t="shared" si="52"/>
        <v>8700</v>
      </c>
      <c r="O106" s="65"/>
      <c r="P106" s="4"/>
    </row>
    <row r="107" spans="1:16" s="12" customFormat="1" ht="15.75" customHeight="1">
      <c r="A107" s="96"/>
      <c r="B107" s="94"/>
      <c r="C107" s="71" t="s">
        <v>72</v>
      </c>
      <c r="D107" s="10" t="s">
        <v>13</v>
      </c>
      <c r="E107" s="2">
        <f>G107+I107+K107+M107</f>
        <v>19837</v>
      </c>
      <c r="F107" s="2">
        <f t="shared" si="51"/>
        <v>18611.699999999997</v>
      </c>
      <c r="G107" s="2">
        <f>G119+G131+G138</f>
        <v>9108.8</v>
      </c>
      <c r="H107" s="2">
        <f>H119+H138</f>
        <v>8083.5</v>
      </c>
      <c r="I107" s="2">
        <f aca="true" t="shared" si="53" ref="I107:J111">I119+I131</f>
        <v>0</v>
      </c>
      <c r="J107" s="2">
        <f t="shared" si="53"/>
        <v>0</v>
      </c>
      <c r="K107" s="2">
        <f t="shared" si="52"/>
        <v>1652.8999999999999</v>
      </c>
      <c r="L107" s="2">
        <f t="shared" si="52"/>
        <v>1452.8999999999999</v>
      </c>
      <c r="M107" s="2">
        <f t="shared" si="52"/>
        <v>9075.3</v>
      </c>
      <c r="N107" s="2">
        <f t="shared" si="52"/>
        <v>9075.3</v>
      </c>
      <c r="O107" s="65"/>
      <c r="P107" s="4"/>
    </row>
    <row r="108" spans="1:16" s="12" customFormat="1" ht="27" customHeight="1">
      <c r="A108" s="96"/>
      <c r="B108" s="94"/>
      <c r="C108" s="72"/>
      <c r="D108" s="10" t="s">
        <v>14</v>
      </c>
      <c r="E108" s="2">
        <f>G108+I108+K108+M108</f>
        <v>22904.72</v>
      </c>
      <c r="F108" s="2">
        <f t="shared" si="51"/>
        <v>22362.42</v>
      </c>
      <c r="G108" s="2">
        <f>G120+G132+G139</f>
        <v>10458.4</v>
      </c>
      <c r="H108" s="2">
        <f>H120+H132+H139</f>
        <v>9916.1</v>
      </c>
      <c r="I108" s="2">
        <f t="shared" si="53"/>
        <v>0</v>
      </c>
      <c r="J108" s="2">
        <f t="shared" si="53"/>
        <v>0</v>
      </c>
      <c r="K108" s="2">
        <f t="shared" si="52"/>
        <v>2868.42</v>
      </c>
      <c r="L108" s="2">
        <f t="shared" si="52"/>
        <v>2868.42</v>
      </c>
      <c r="M108" s="2">
        <f t="shared" si="52"/>
        <v>9577.9</v>
      </c>
      <c r="N108" s="2">
        <f t="shared" si="52"/>
        <v>9577.9</v>
      </c>
      <c r="O108" s="65"/>
      <c r="P108" s="4"/>
    </row>
    <row r="109" spans="1:16" s="12" customFormat="1" ht="15.75">
      <c r="A109" s="96"/>
      <c r="B109" s="94"/>
      <c r="C109" s="72"/>
      <c r="D109" s="10" t="s">
        <v>15</v>
      </c>
      <c r="E109" s="2">
        <f>G109+I109+K109+M109</f>
        <v>24572.800000000003</v>
      </c>
      <c r="F109" s="2">
        <f t="shared" si="51"/>
        <v>23056</v>
      </c>
      <c r="G109" s="2">
        <f>G121+G133+G140</f>
        <v>10458.4</v>
      </c>
      <c r="H109" s="2">
        <f>H121+H133+H140</f>
        <v>8941.6</v>
      </c>
      <c r="I109" s="2">
        <f t="shared" si="53"/>
        <v>0</v>
      </c>
      <c r="J109" s="2">
        <f t="shared" si="53"/>
        <v>0</v>
      </c>
      <c r="K109" s="2">
        <f t="shared" si="52"/>
        <v>4700.8</v>
      </c>
      <c r="L109" s="2">
        <f t="shared" si="52"/>
        <v>4700.8</v>
      </c>
      <c r="M109" s="2">
        <f t="shared" si="52"/>
        <v>9413.6</v>
      </c>
      <c r="N109" s="2">
        <f t="shared" si="52"/>
        <v>9413.6</v>
      </c>
      <c r="O109" s="65"/>
      <c r="P109" s="4"/>
    </row>
    <row r="110" spans="1:16" s="12" customFormat="1" ht="15.75">
      <c r="A110" s="96"/>
      <c r="B110" s="94"/>
      <c r="C110" s="72"/>
      <c r="D110" s="10" t="s">
        <v>16</v>
      </c>
      <c r="E110" s="2">
        <f t="shared" si="51"/>
        <v>22709.2</v>
      </c>
      <c r="F110" s="2">
        <f t="shared" si="51"/>
        <v>15800.3</v>
      </c>
      <c r="G110" s="2">
        <f>G122+G134+G141</f>
        <v>10458.4</v>
      </c>
      <c r="H110" s="2">
        <f>H122+H134+H141</f>
        <v>8230.3</v>
      </c>
      <c r="I110" s="2">
        <f t="shared" si="53"/>
        <v>0</v>
      </c>
      <c r="J110" s="2">
        <f t="shared" si="53"/>
        <v>0</v>
      </c>
      <c r="K110" s="2">
        <f t="shared" si="52"/>
        <v>4735.8</v>
      </c>
      <c r="L110" s="2">
        <f t="shared" si="52"/>
        <v>55</v>
      </c>
      <c r="M110" s="2">
        <f t="shared" si="52"/>
        <v>7515</v>
      </c>
      <c r="N110" s="2">
        <f t="shared" si="52"/>
        <v>7515</v>
      </c>
      <c r="O110" s="65"/>
      <c r="P110" s="4"/>
    </row>
    <row r="111" spans="1:16" s="12" customFormat="1" ht="15.75">
      <c r="A111" s="96"/>
      <c r="B111" s="94"/>
      <c r="C111" s="72"/>
      <c r="D111" s="10" t="s">
        <v>17</v>
      </c>
      <c r="E111" s="2">
        <f aca="true" t="shared" si="54" ref="E111:F116">G111+I111+K111+M111</f>
        <v>22694.2</v>
      </c>
      <c r="F111" s="2">
        <f t="shared" si="54"/>
        <v>15778.3</v>
      </c>
      <c r="G111" s="2">
        <f>G123+G135+G142</f>
        <v>10458.4</v>
      </c>
      <c r="H111" s="2">
        <f>H123+H135+H142</f>
        <v>8223.3</v>
      </c>
      <c r="I111" s="2">
        <f t="shared" si="53"/>
        <v>0</v>
      </c>
      <c r="J111" s="2">
        <f t="shared" si="53"/>
        <v>0</v>
      </c>
      <c r="K111" s="2">
        <f t="shared" si="52"/>
        <v>4735.8</v>
      </c>
      <c r="L111" s="2">
        <f t="shared" si="52"/>
        <v>55</v>
      </c>
      <c r="M111" s="2">
        <f t="shared" si="52"/>
        <v>7500</v>
      </c>
      <c r="N111" s="2">
        <f t="shared" si="52"/>
        <v>7500</v>
      </c>
      <c r="O111" s="65"/>
      <c r="P111" s="4"/>
    </row>
    <row r="112" spans="1:16" s="12" customFormat="1" ht="15.75">
      <c r="A112" s="96"/>
      <c r="B112" s="94"/>
      <c r="C112" s="72"/>
      <c r="D112" s="10" t="s">
        <v>99</v>
      </c>
      <c r="E112" s="2">
        <f t="shared" si="54"/>
        <v>22694.2</v>
      </c>
      <c r="F112" s="2">
        <f t="shared" si="54"/>
        <v>15778.3</v>
      </c>
      <c r="G112" s="2">
        <f>G124+G143</f>
        <v>10458.4</v>
      </c>
      <c r="H112" s="2">
        <f aca="true" t="shared" si="55" ref="H112:N112">H124+H143</f>
        <v>8223.3</v>
      </c>
      <c r="I112" s="2">
        <f t="shared" si="55"/>
        <v>0</v>
      </c>
      <c r="J112" s="2">
        <f t="shared" si="55"/>
        <v>0</v>
      </c>
      <c r="K112" s="2">
        <f t="shared" si="55"/>
        <v>4735.8</v>
      </c>
      <c r="L112" s="2">
        <f t="shared" si="55"/>
        <v>55</v>
      </c>
      <c r="M112" s="2">
        <f t="shared" si="55"/>
        <v>7500</v>
      </c>
      <c r="N112" s="2">
        <f t="shared" si="55"/>
        <v>7500</v>
      </c>
      <c r="O112" s="65"/>
      <c r="P112" s="4"/>
    </row>
    <row r="113" spans="1:16" s="12" customFormat="1" ht="15.75">
      <c r="A113" s="96"/>
      <c r="B113" s="94"/>
      <c r="C113" s="72"/>
      <c r="D113" s="10" t="s">
        <v>100</v>
      </c>
      <c r="E113" s="2">
        <f t="shared" si="54"/>
        <v>22694.2</v>
      </c>
      <c r="F113" s="2">
        <f t="shared" si="54"/>
        <v>8290.6</v>
      </c>
      <c r="G113" s="2">
        <f aca="true" t="shared" si="56" ref="G113:N113">G125+G144</f>
        <v>10458.4</v>
      </c>
      <c r="H113" s="2">
        <f t="shared" si="56"/>
        <v>8290.6</v>
      </c>
      <c r="I113" s="2">
        <f t="shared" si="56"/>
        <v>0</v>
      </c>
      <c r="J113" s="2">
        <f t="shared" si="56"/>
        <v>0</v>
      </c>
      <c r="K113" s="2">
        <f t="shared" si="56"/>
        <v>4735.8</v>
      </c>
      <c r="L113" s="2">
        <f t="shared" si="56"/>
        <v>0</v>
      </c>
      <c r="M113" s="2">
        <f t="shared" si="56"/>
        <v>7500</v>
      </c>
      <c r="N113" s="2">
        <f t="shared" si="56"/>
        <v>0</v>
      </c>
      <c r="O113" s="65"/>
      <c r="P113" s="4"/>
    </row>
    <row r="114" spans="1:16" s="12" customFormat="1" ht="15.75">
      <c r="A114" s="96"/>
      <c r="B114" s="94"/>
      <c r="C114" s="72"/>
      <c r="D114" s="10" t="s">
        <v>101</v>
      </c>
      <c r="E114" s="2">
        <f t="shared" si="54"/>
        <v>22694.2</v>
      </c>
      <c r="F114" s="2">
        <f t="shared" si="54"/>
        <v>0</v>
      </c>
      <c r="G114" s="2">
        <f aca="true" t="shared" si="57" ref="G114:N114">G126+G145</f>
        <v>10458.4</v>
      </c>
      <c r="H114" s="2">
        <f t="shared" si="57"/>
        <v>0</v>
      </c>
      <c r="I114" s="2">
        <f t="shared" si="57"/>
        <v>0</v>
      </c>
      <c r="J114" s="2">
        <f t="shared" si="57"/>
        <v>0</v>
      </c>
      <c r="K114" s="2">
        <f t="shared" si="57"/>
        <v>4735.8</v>
      </c>
      <c r="L114" s="2">
        <f t="shared" si="57"/>
        <v>0</v>
      </c>
      <c r="M114" s="2">
        <f t="shared" si="57"/>
        <v>7500</v>
      </c>
      <c r="N114" s="2">
        <f t="shared" si="57"/>
        <v>0</v>
      </c>
      <c r="O114" s="65"/>
      <c r="P114" s="4"/>
    </row>
    <row r="115" spans="1:16" s="12" customFormat="1" ht="15.75">
      <c r="A115" s="96"/>
      <c r="B115" s="94"/>
      <c r="C115" s="72"/>
      <c r="D115" s="10" t="s">
        <v>102</v>
      </c>
      <c r="E115" s="2">
        <f t="shared" si="54"/>
        <v>22694.2</v>
      </c>
      <c r="F115" s="2">
        <f t="shared" si="54"/>
        <v>0</v>
      </c>
      <c r="G115" s="2">
        <f aca="true" t="shared" si="58" ref="G115:N115">G127+G146</f>
        <v>10458.4</v>
      </c>
      <c r="H115" s="2">
        <f t="shared" si="58"/>
        <v>0</v>
      </c>
      <c r="I115" s="2">
        <f t="shared" si="58"/>
        <v>0</v>
      </c>
      <c r="J115" s="2">
        <f t="shared" si="58"/>
        <v>0</v>
      </c>
      <c r="K115" s="2">
        <f t="shared" si="58"/>
        <v>4735.8</v>
      </c>
      <c r="L115" s="2">
        <f t="shared" si="58"/>
        <v>0</v>
      </c>
      <c r="M115" s="2">
        <f t="shared" si="58"/>
        <v>7500</v>
      </c>
      <c r="N115" s="2">
        <f t="shared" si="58"/>
        <v>0</v>
      </c>
      <c r="O115" s="65"/>
      <c r="P115" s="4"/>
    </row>
    <row r="116" spans="1:16" s="12" customFormat="1" ht="15.75">
      <c r="A116" s="96"/>
      <c r="B116" s="95"/>
      <c r="C116" s="73"/>
      <c r="D116" s="10" t="s">
        <v>103</v>
      </c>
      <c r="E116" s="2">
        <f t="shared" si="54"/>
        <v>22694.2</v>
      </c>
      <c r="F116" s="2">
        <f t="shared" si="54"/>
        <v>0</v>
      </c>
      <c r="G116" s="2">
        <f aca="true" t="shared" si="59" ref="G116:N116">G128+G147</f>
        <v>10458.4</v>
      </c>
      <c r="H116" s="2">
        <f t="shared" si="59"/>
        <v>0</v>
      </c>
      <c r="I116" s="2">
        <f t="shared" si="59"/>
        <v>0</v>
      </c>
      <c r="J116" s="2">
        <f t="shared" si="59"/>
        <v>0</v>
      </c>
      <c r="K116" s="2">
        <f t="shared" si="59"/>
        <v>4735.8</v>
      </c>
      <c r="L116" s="2">
        <f t="shared" si="59"/>
        <v>0</v>
      </c>
      <c r="M116" s="2">
        <f t="shared" si="59"/>
        <v>7500</v>
      </c>
      <c r="N116" s="2">
        <f t="shared" si="59"/>
        <v>0</v>
      </c>
      <c r="O116" s="65"/>
      <c r="P116" s="4"/>
    </row>
    <row r="117" spans="1:16" s="12" customFormat="1" ht="15.75">
      <c r="A117" s="96"/>
      <c r="B117" s="77" t="s">
        <v>24</v>
      </c>
      <c r="C117" s="19"/>
      <c r="D117" s="1" t="s">
        <v>11</v>
      </c>
      <c r="E117" s="2">
        <f>SUM(E118:E128)</f>
        <v>244892.92000000007</v>
      </c>
      <c r="F117" s="2">
        <f aca="true" t="shared" si="60" ref="F117:N117">SUM(F118:F128)</f>
        <v>137601.12</v>
      </c>
      <c r="G117" s="2">
        <f t="shared" si="60"/>
        <v>111397.19999999998</v>
      </c>
      <c r="H117" s="2">
        <f t="shared" si="60"/>
        <v>67491.00000000001</v>
      </c>
      <c r="I117" s="2">
        <f t="shared" si="60"/>
        <v>0</v>
      </c>
      <c r="J117" s="2">
        <f t="shared" si="60"/>
        <v>0</v>
      </c>
      <c r="K117" s="2">
        <f t="shared" si="60"/>
        <v>44213.920000000006</v>
      </c>
      <c r="L117" s="2">
        <f>SUM(L118:L128)</f>
        <v>10828.32</v>
      </c>
      <c r="M117" s="2">
        <f t="shared" si="60"/>
        <v>89281.79999999999</v>
      </c>
      <c r="N117" s="2">
        <f t="shared" si="60"/>
        <v>59281.799999999996</v>
      </c>
      <c r="O117" s="65"/>
      <c r="P117" s="4"/>
    </row>
    <row r="118" spans="1:16" s="28" customFormat="1" ht="57.75" customHeight="1">
      <c r="A118" s="96"/>
      <c r="B118" s="77"/>
      <c r="C118" s="1" t="s">
        <v>74</v>
      </c>
      <c r="D118" s="1" t="s">
        <v>12</v>
      </c>
      <c r="E118" s="2">
        <f>G118+I118+K118+M118</f>
        <v>18704</v>
      </c>
      <c r="F118" s="2">
        <f aca="true" t="shared" si="61" ref="F118:F128">H118+J118+L118+N118</f>
        <v>17923.5</v>
      </c>
      <c r="G118" s="3">
        <f>743.8+H118-163.3</f>
        <v>8162.8</v>
      </c>
      <c r="H118" s="3">
        <v>7582.3</v>
      </c>
      <c r="I118" s="3">
        <v>0</v>
      </c>
      <c r="J118" s="3">
        <v>0</v>
      </c>
      <c r="K118" s="3">
        <f>200+L118</f>
        <v>1841.2</v>
      </c>
      <c r="L118" s="3">
        <v>1641.2</v>
      </c>
      <c r="M118" s="3">
        <v>8700</v>
      </c>
      <c r="N118" s="3">
        <f aca="true" t="shared" si="62" ref="N118:N123">M118</f>
        <v>8700</v>
      </c>
      <c r="O118" s="65"/>
      <c r="P118" s="4"/>
    </row>
    <row r="119" spans="1:16" ht="53.25" customHeight="1">
      <c r="A119" s="96"/>
      <c r="B119" s="77"/>
      <c r="C119" s="1" t="s">
        <v>73</v>
      </c>
      <c r="D119" s="1" t="s">
        <v>13</v>
      </c>
      <c r="E119" s="2">
        <f>G119+I119+K119+M119</f>
        <v>19837</v>
      </c>
      <c r="F119" s="2">
        <f t="shared" si="61"/>
        <v>18611.699999999997</v>
      </c>
      <c r="G119" s="3">
        <f>H119+75.9+193.4+46+230+480</f>
        <v>9108.8</v>
      </c>
      <c r="H119" s="3">
        <f>8393.5-250+30+30-120</f>
        <v>8083.5</v>
      </c>
      <c r="I119" s="3">
        <v>0</v>
      </c>
      <c r="J119" s="3">
        <v>0</v>
      </c>
      <c r="K119" s="3">
        <f>200+L119</f>
        <v>1652.8999999999999</v>
      </c>
      <c r="L119" s="3">
        <f>3129.6+15-1691.7</f>
        <v>1452.8999999999999</v>
      </c>
      <c r="M119" s="3">
        <f>9075.3-M131</f>
        <v>9075.3</v>
      </c>
      <c r="N119" s="3">
        <f t="shared" si="62"/>
        <v>9075.3</v>
      </c>
      <c r="O119" s="65"/>
      <c r="P119" s="4"/>
    </row>
    <row r="120" spans="1:16" ht="15" customHeight="1">
      <c r="A120" s="96"/>
      <c r="B120" s="77"/>
      <c r="C120" s="59" t="s">
        <v>85</v>
      </c>
      <c r="D120" s="1" t="s">
        <v>14</v>
      </c>
      <c r="E120" s="2">
        <f>G120+I120+K120+M120</f>
        <v>22904.72</v>
      </c>
      <c r="F120" s="2">
        <f t="shared" si="61"/>
        <v>22362.42</v>
      </c>
      <c r="G120" s="3">
        <f>H120+542.3</f>
        <v>10458.4</v>
      </c>
      <c r="H120" s="3">
        <f>9812.6+103.5</f>
        <v>9916.1</v>
      </c>
      <c r="I120" s="3">
        <v>0</v>
      </c>
      <c r="J120" s="3">
        <v>0</v>
      </c>
      <c r="K120" s="3">
        <f>L120</f>
        <v>2868.42</v>
      </c>
      <c r="L120" s="3">
        <f>2868.42</f>
        <v>2868.42</v>
      </c>
      <c r="M120" s="3">
        <f>9577.9-M132</f>
        <v>9577.9</v>
      </c>
      <c r="N120" s="3">
        <f t="shared" si="62"/>
        <v>9577.9</v>
      </c>
      <c r="O120" s="65"/>
      <c r="P120" s="4"/>
    </row>
    <row r="121" spans="1:16" ht="15.75">
      <c r="A121" s="96"/>
      <c r="B121" s="77"/>
      <c r="C121" s="60"/>
      <c r="D121" s="1" t="s">
        <v>15</v>
      </c>
      <c r="E121" s="2">
        <f>G121+I121+K121+M121</f>
        <v>24572.800000000003</v>
      </c>
      <c r="F121" s="2">
        <f t="shared" si="61"/>
        <v>23056</v>
      </c>
      <c r="G121" s="3">
        <f aca="true" t="shared" si="63" ref="G121:G128">G120</f>
        <v>10458.4</v>
      </c>
      <c r="H121" s="3">
        <v>8941.6</v>
      </c>
      <c r="I121" s="3">
        <v>0</v>
      </c>
      <c r="J121" s="3">
        <v>0</v>
      </c>
      <c r="K121" s="3">
        <v>4700.8</v>
      </c>
      <c r="L121" s="3">
        <f>K121</f>
        <v>4700.8</v>
      </c>
      <c r="M121" s="3">
        <f>9413.6</f>
        <v>9413.6</v>
      </c>
      <c r="N121" s="3">
        <f t="shared" si="62"/>
        <v>9413.6</v>
      </c>
      <c r="O121" s="65"/>
      <c r="P121" s="4"/>
    </row>
    <row r="122" spans="1:16" ht="15.75">
      <c r="A122" s="96"/>
      <c r="B122" s="77"/>
      <c r="C122" s="60"/>
      <c r="D122" s="1" t="s">
        <v>16</v>
      </c>
      <c r="E122" s="2">
        <f>G122+I122+K122+M122</f>
        <v>22709.2</v>
      </c>
      <c r="F122" s="2">
        <f t="shared" si="61"/>
        <v>15800.3</v>
      </c>
      <c r="G122" s="3">
        <f t="shared" si="63"/>
        <v>10458.4</v>
      </c>
      <c r="H122" s="3">
        <f>8230.3</f>
        <v>8230.3</v>
      </c>
      <c r="I122" s="3">
        <v>0</v>
      </c>
      <c r="J122" s="3">
        <v>0</v>
      </c>
      <c r="K122" s="3">
        <v>4735.8</v>
      </c>
      <c r="L122" s="3">
        <v>55</v>
      </c>
      <c r="M122" s="3">
        <v>7515</v>
      </c>
      <c r="N122" s="3">
        <f t="shared" si="62"/>
        <v>7515</v>
      </c>
      <c r="O122" s="65"/>
      <c r="P122" s="4"/>
    </row>
    <row r="123" spans="1:16" ht="15.75">
      <c r="A123" s="96"/>
      <c r="B123" s="77"/>
      <c r="C123" s="60"/>
      <c r="D123" s="1" t="s">
        <v>17</v>
      </c>
      <c r="E123" s="2">
        <f aca="true" t="shared" si="64" ref="E123:E128">G123+I123+K123+M123</f>
        <v>22694.2</v>
      </c>
      <c r="F123" s="2">
        <f t="shared" si="61"/>
        <v>15778.3</v>
      </c>
      <c r="G123" s="3">
        <f t="shared" si="63"/>
        <v>10458.4</v>
      </c>
      <c r="H123" s="3">
        <v>8223.3</v>
      </c>
      <c r="I123" s="3">
        <v>0</v>
      </c>
      <c r="J123" s="3">
        <v>0</v>
      </c>
      <c r="K123" s="3">
        <f aca="true" t="shared" si="65" ref="K123:K128">K122</f>
        <v>4735.8</v>
      </c>
      <c r="L123" s="3">
        <v>55</v>
      </c>
      <c r="M123" s="3">
        <v>7500</v>
      </c>
      <c r="N123" s="3">
        <f t="shared" si="62"/>
        <v>7500</v>
      </c>
      <c r="O123" s="65"/>
      <c r="P123" s="4"/>
    </row>
    <row r="124" spans="1:16" ht="15.75">
      <c r="A124" s="96"/>
      <c r="B124" s="77"/>
      <c r="C124" s="60"/>
      <c r="D124" s="1" t="s">
        <v>99</v>
      </c>
      <c r="E124" s="2">
        <f t="shared" si="64"/>
        <v>22694.2</v>
      </c>
      <c r="F124" s="2">
        <f t="shared" si="61"/>
        <v>15778.3</v>
      </c>
      <c r="G124" s="3">
        <f t="shared" si="63"/>
        <v>10458.4</v>
      </c>
      <c r="H124" s="3">
        <f>H123</f>
        <v>8223.3</v>
      </c>
      <c r="I124" s="3">
        <v>0</v>
      </c>
      <c r="J124" s="3">
        <v>0</v>
      </c>
      <c r="K124" s="3">
        <f t="shared" si="65"/>
        <v>4735.8</v>
      </c>
      <c r="L124" s="3">
        <v>55</v>
      </c>
      <c r="M124" s="3">
        <f>M123</f>
        <v>7500</v>
      </c>
      <c r="N124" s="3">
        <f>M124</f>
        <v>7500</v>
      </c>
      <c r="O124" s="65"/>
      <c r="P124" s="4"/>
    </row>
    <row r="125" spans="1:16" ht="15.75">
      <c r="A125" s="96"/>
      <c r="B125" s="77"/>
      <c r="C125" s="60"/>
      <c r="D125" s="1" t="s">
        <v>100</v>
      </c>
      <c r="E125" s="2">
        <f t="shared" si="64"/>
        <v>22694.2</v>
      </c>
      <c r="F125" s="2">
        <f t="shared" si="61"/>
        <v>8290.6</v>
      </c>
      <c r="G125" s="3">
        <f t="shared" si="63"/>
        <v>10458.4</v>
      </c>
      <c r="H125" s="3">
        <v>8290.6</v>
      </c>
      <c r="I125" s="3">
        <v>0</v>
      </c>
      <c r="J125" s="3">
        <v>0</v>
      </c>
      <c r="K125" s="3">
        <f t="shared" si="65"/>
        <v>4735.8</v>
      </c>
      <c r="L125" s="3">
        <v>0</v>
      </c>
      <c r="M125" s="3">
        <f>M124</f>
        <v>7500</v>
      </c>
      <c r="N125" s="3">
        <v>0</v>
      </c>
      <c r="O125" s="65"/>
      <c r="P125" s="4"/>
    </row>
    <row r="126" spans="1:16" ht="15.75">
      <c r="A126" s="96"/>
      <c r="B126" s="77"/>
      <c r="C126" s="60"/>
      <c r="D126" s="1" t="s">
        <v>101</v>
      </c>
      <c r="E126" s="2">
        <f t="shared" si="64"/>
        <v>22694.2</v>
      </c>
      <c r="F126" s="2">
        <f t="shared" si="61"/>
        <v>0</v>
      </c>
      <c r="G126" s="3">
        <f t="shared" si="63"/>
        <v>10458.4</v>
      </c>
      <c r="H126" s="3">
        <v>0</v>
      </c>
      <c r="I126" s="3">
        <v>0</v>
      </c>
      <c r="J126" s="3">
        <v>0</v>
      </c>
      <c r="K126" s="3">
        <f t="shared" si="65"/>
        <v>4735.8</v>
      </c>
      <c r="L126" s="3">
        <v>0</v>
      </c>
      <c r="M126" s="3">
        <f>M125</f>
        <v>7500</v>
      </c>
      <c r="N126" s="3">
        <v>0</v>
      </c>
      <c r="O126" s="65"/>
      <c r="P126" s="4"/>
    </row>
    <row r="127" spans="1:16" ht="15.75">
      <c r="A127" s="96"/>
      <c r="B127" s="77"/>
      <c r="C127" s="60"/>
      <c r="D127" s="1" t="s">
        <v>102</v>
      </c>
      <c r="E127" s="2">
        <f t="shared" si="64"/>
        <v>22694.2</v>
      </c>
      <c r="F127" s="2">
        <f t="shared" si="61"/>
        <v>0</v>
      </c>
      <c r="G127" s="3">
        <f t="shared" si="63"/>
        <v>10458.4</v>
      </c>
      <c r="H127" s="3">
        <v>0</v>
      </c>
      <c r="I127" s="3">
        <v>0</v>
      </c>
      <c r="J127" s="3">
        <v>0</v>
      </c>
      <c r="K127" s="3">
        <f t="shared" si="65"/>
        <v>4735.8</v>
      </c>
      <c r="L127" s="3">
        <v>0</v>
      </c>
      <c r="M127" s="3">
        <f>M126</f>
        <v>7500</v>
      </c>
      <c r="N127" s="3">
        <v>0</v>
      </c>
      <c r="O127" s="65"/>
      <c r="P127" s="4"/>
    </row>
    <row r="128" spans="1:16" ht="37.5" customHeight="1">
      <c r="A128" s="96"/>
      <c r="B128" s="77"/>
      <c r="C128" s="87"/>
      <c r="D128" s="1" t="s">
        <v>103</v>
      </c>
      <c r="E128" s="2">
        <f t="shared" si="64"/>
        <v>22694.2</v>
      </c>
      <c r="F128" s="2">
        <f t="shared" si="61"/>
        <v>0</v>
      </c>
      <c r="G128" s="3">
        <f t="shared" si="63"/>
        <v>10458.4</v>
      </c>
      <c r="H128" s="3">
        <v>0</v>
      </c>
      <c r="I128" s="3">
        <v>0</v>
      </c>
      <c r="J128" s="3">
        <v>0</v>
      </c>
      <c r="K128" s="3">
        <f t="shared" si="65"/>
        <v>4735.8</v>
      </c>
      <c r="L128" s="3">
        <v>0</v>
      </c>
      <c r="M128" s="3">
        <f>M127</f>
        <v>7500</v>
      </c>
      <c r="N128" s="3">
        <v>0</v>
      </c>
      <c r="O128" s="65"/>
      <c r="P128" s="4"/>
    </row>
    <row r="129" spans="1:16" s="12" customFormat="1" ht="15.75">
      <c r="A129" s="96"/>
      <c r="B129" s="48" t="s">
        <v>114</v>
      </c>
      <c r="C129" s="59" t="s">
        <v>58</v>
      </c>
      <c r="D129" s="10" t="s">
        <v>11</v>
      </c>
      <c r="E129" s="2">
        <f>SUM(E130:E135)</f>
        <v>220</v>
      </c>
      <c r="F129" s="2">
        <f>SUM(F130:F135)</f>
        <v>0</v>
      </c>
      <c r="G129" s="2">
        <f aca="true" t="shared" si="66" ref="G129:L129">SUM(G130:G135)</f>
        <v>220</v>
      </c>
      <c r="H129" s="2">
        <f>SUM(H130:H135)</f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>SUM(M130:M135)</f>
        <v>0</v>
      </c>
      <c r="N129" s="2">
        <f>SUM(N130:N135)</f>
        <v>0</v>
      </c>
      <c r="O129" s="65"/>
      <c r="P129" s="4"/>
    </row>
    <row r="130" spans="1:16" s="37" customFormat="1" ht="87.75" customHeight="1">
      <c r="A130" s="96"/>
      <c r="B130" s="84"/>
      <c r="C130" s="60"/>
      <c r="D130" s="1" t="s">
        <v>12</v>
      </c>
      <c r="E130" s="2">
        <f>G130+I130+K130+M130</f>
        <v>220</v>
      </c>
      <c r="F130" s="2">
        <f>H130+J130+L130+N130</f>
        <v>0</v>
      </c>
      <c r="G130" s="3">
        <v>220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f>M130</f>
        <v>0</v>
      </c>
      <c r="O130" s="65"/>
      <c r="P130" s="39"/>
    </row>
    <row r="131" spans="1:16" ht="75.75" customHeight="1">
      <c r="A131" s="96"/>
      <c r="B131" s="84"/>
      <c r="C131" s="60"/>
      <c r="D131" s="1" t="s">
        <v>13</v>
      </c>
      <c r="E131" s="61" t="s">
        <v>109</v>
      </c>
      <c r="F131" s="62"/>
      <c r="G131" s="62"/>
      <c r="H131" s="62"/>
      <c r="I131" s="62"/>
      <c r="J131" s="62"/>
      <c r="K131" s="62"/>
      <c r="L131" s="62"/>
      <c r="M131" s="62"/>
      <c r="N131" s="63"/>
      <c r="O131" s="65"/>
      <c r="P131" s="4"/>
    </row>
    <row r="132" spans="1:16" ht="15.75" hidden="1">
      <c r="A132" s="96"/>
      <c r="B132" s="84"/>
      <c r="C132" s="8"/>
      <c r="D132" s="1" t="s">
        <v>14</v>
      </c>
      <c r="E132" s="78"/>
      <c r="F132" s="79"/>
      <c r="G132" s="79"/>
      <c r="H132" s="79"/>
      <c r="I132" s="79"/>
      <c r="J132" s="79"/>
      <c r="K132" s="79"/>
      <c r="L132" s="79"/>
      <c r="M132" s="79"/>
      <c r="N132" s="80"/>
      <c r="O132" s="65"/>
      <c r="P132" s="4"/>
    </row>
    <row r="133" spans="1:16" ht="15.75" hidden="1">
      <c r="A133" s="96"/>
      <c r="B133" s="84"/>
      <c r="C133" s="8"/>
      <c r="D133" s="1" t="s">
        <v>15</v>
      </c>
      <c r="E133" s="78"/>
      <c r="F133" s="79"/>
      <c r="G133" s="79"/>
      <c r="H133" s="79"/>
      <c r="I133" s="79"/>
      <c r="J133" s="79"/>
      <c r="K133" s="79"/>
      <c r="L133" s="79"/>
      <c r="M133" s="79"/>
      <c r="N133" s="80"/>
      <c r="O133" s="65"/>
      <c r="P133" s="4"/>
    </row>
    <row r="134" spans="1:16" ht="15.75" hidden="1">
      <c r="A134" s="96"/>
      <c r="B134" s="84"/>
      <c r="C134" s="8"/>
      <c r="D134" s="1" t="s">
        <v>16</v>
      </c>
      <c r="E134" s="78"/>
      <c r="F134" s="79"/>
      <c r="G134" s="79"/>
      <c r="H134" s="79"/>
      <c r="I134" s="79"/>
      <c r="J134" s="79"/>
      <c r="K134" s="79"/>
      <c r="L134" s="79"/>
      <c r="M134" s="79"/>
      <c r="N134" s="80"/>
      <c r="O134" s="65"/>
      <c r="P134" s="4"/>
    </row>
    <row r="135" spans="1:16" ht="15.75" hidden="1">
      <c r="A135" s="97"/>
      <c r="B135" s="85"/>
      <c r="C135" s="9"/>
      <c r="D135" s="1" t="s">
        <v>17</v>
      </c>
      <c r="E135" s="81"/>
      <c r="F135" s="82"/>
      <c r="G135" s="82"/>
      <c r="H135" s="82"/>
      <c r="I135" s="82"/>
      <c r="J135" s="82"/>
      <c r="K135" s="82"/>
      <c r="L135" s="82"/>
      <c r="M135" s="82"/>
      <c r="N135" s="83"/>
      <c r="O135" s="66"/>
      <c r="P135" s="4"/>
    </row>
    <row r="136" spans="1:16" ht="15.75">
      <c r="A136" s="43"/>
      <c r="B136" s="89" t="s">
        <v>53</v>
      </c>
      <c r="C136" s="52" t="s">
        <v>58</v>
      </c>
      <c r="D136" s="1" t="s">
        <v>11</v>
      </c>
      <c r="E136" s="2">
        <f>SUM(E137:E147)</f>
        <v>0</v>
      </c>
      <c r="F136" s="2">
        <f aca="true" t="shared" si="67" ref="F136:N136">SUM(F137:F147)</f>
        <v>0</v>
      </c>
      <c r="G136" s="2">
        <f t="shared" si="67"/>
        <v>0</v>
      </c>
      <c r="H136" s="2">
        <f t="shared" si="67"/>
        <v>0</v>
      </c>
      <c r="I136" s="2">
        <f t="shared" si="67"/>
        <v>0</v>
      </c>
      <c r="J136" s="2">
        <f t="shared" si="67"/>
        <v>0</v>
      </c>
      <c r="K136" s="2">
        <f t="shared" si="67"/>
        <v>0</v>
      </c>
      <c r="L136" s="2">
        <f t="shared" si="67"/>
        <v>0</v>
      </c>
      <c r="M136" s="2">
        <f t="shared" si="67"/>
        <v>0</v>
      </c>
      <c r="N136" s="2">
        <f t="shared" si="67"/>
        <v>0</v>
      </c>
      <c r="O136" s="20"/>
      <c r="P136" s="4"/>
    </row>
    <row r="137" spans="1:16" s="28" customFormat="1" ht="15.75">
      <c r="A137" s="43"/>
      <c r="B137" s="90"/>
      <c r="C137" s="53"/>
      <c r="D137" s="1" t="s">
        <v>12</v>
      </c>
      <c r="E137" s="2">
        <f aca="true" t="shared" si="68" ref="E137:E147">G137+I137+K137+M137</f>
        <v>0</v>
      </c>
      <c r="F137" s="2">
        <f aca="true" t="shared" si="69" ref="F137:F147">H137+J137+L137+N137</f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20"/>
      <c r="P137" s="4"/>
    </row>
    <row r="138" spans="1:16" ht="15.75">
      <c r="A138" s="43"/>
      <c r="B138" s="90"/>
      <c r="C138" s="53"/>
      <c r="D138" s="1" t="s">
        <v>13</v>
      </c>
      <c r="E138" s="2">
        <f t="shared" si="68"/>
        <v>0</v>
      </c>
      <c r="F138" s="2">
        <f t="shared" si="69"/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20"/>
      <c r="P138" s="4"/>
    </row>
    <row r="139" spans="1:16" ht="15.75">
      <c r="A139" s="43"/>
      <c r="B139" s="90"/>
      <c r="C139" s="53"/>
      <c r="D139" s="1" t="s">
        <v>14</v>
      </c>
      <c r="E139" s="2">
        <f t="shared" si="68"/>
        <v>0</v>
      </c>
      <c r="F139" s="2">
        <f t="shared" si="69"/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20"/>
      <c r="P139" s="4"/>
    </row>
    <row r="140" spans="1:16" ht="15.75">
      <c r="A140" s="43"/>
      <c r="B140" s="90"/>
      <c r="C140" s="53"/>
      <c r="D140" s="1" t="s">
        <v>15</v>
      </c>
      <c r="E140" s="2">
        <f t="shared" si="68"/>
        <v>0</v>
      </c>
      <c r="F140" s="2">
        <f t="shared" si="69"/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20"/>
      <c r="P140" s="4"/>
    </row>
    <row r="141" spans="1:16" ht="15.75">
      <c r="A141" s="43"/>
      <c r="B141" s="90"/>
      <c r="C141" s="53"/>
      <c r="D141" s="1" t="s">
        <v>16</v>
      </c>
      <c r="E141" s="2">
        <f t="shared" si="68"/>
        <v>0</v>
      </c>
      <c r="F141" s="2">
        <f t="shared" si="69"/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20"/>
      <c r="P141" s="4"/>
    </row>
    <row r="142" spans="1:16" ht="15.75">
      <c r="A142" s="43"/>
      <c r="B142" s="90"/>
      <c r="C142" s="53"/>
      <c r="D142" s="1" t="s">
        <v>17</v>
      </c>
      <c r="E142" s="2">
        <f t="shared" si="68"/>
        <v>0</v>
      </c>
      <c r="F142" s="2">
        <f t="shared" si="69"/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20"/>
      <c r="P142" s="4"/>
    </row>
    <row r="143" spans="1:16" ht="15.75">
      <c r="A143" s="43"/>
      <c r="B143" s="90"/>
      <c r="C143" s="53"/>
      <c r="D143" s="1" t="s">
        <v>99</v>
      </c>
      <c r="E143" s="2">
        <f t="shared" si="68"/>
        <v>0</v>
      </c>
      <c r="F143" s="2">
        <f t="shared" si="69"/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20"/>
      <c r="P143" s="4"/>
    </row>
    <row r="144" spans="1:16" ht="15.75">
      <c r="A144" s="43"/>
      <c r="B144" s="90"/>
      <c r="C144" s="53"/>
      <c r="D144" s="1" t="s">
        <v>100</v>
      </c>
      <c r="E144" s="2">
        <f t="shared" si="68"/>
        <v>0</v>
      </c>
      <c r="F144" s="2">
        <f t="shared" si="69"/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20"/>
      <c r="P144" s="4"/>
    </row>
    <row r="145" spans="1:16" ht="15.75">
      <c r="A145" s="43"/>
      <c r="B145" s="90"/>
      <c r="C145" s="53"/>
      <c r="D145" s="1" t="s">
        <v>101</v>
      </c>
      <c r="E145" s="2">
        <f t="shared" si="68"/>
        <v>0</v>
      </c>
      <c r="F145" s="2">
        <f t="shared" si="69"/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20"/>
      <c r="P145" s="4"/>
    </row>
    <row r="146" spans="1:16" ht="15.75">
      <c r="A146" s="43"/>
      <c r="B146" s="90"/>
      <c r="C146" s="53"/>
      <c r="D146" s="1" t="s">
        <v>102</v>
      </c>
      <c r="E146" s="2">
        <f t="shared" si="68"/>
        <v>0</v>
      </c>
      <c r="F146" s="2">
        <f t="shared" si="69"/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20"/>
      <c r="P146" s="4"/>
    </row>
    <row r="147" spans="1:16" ht="15.75">
      <c r="A147" s="43"/>
      <c r="B147" s="91"/>
      <c r="C147" s="54"/>
      <c r="D147" s="1" t="s">
        <v>103</v>
      </c>
      <c r="E147" s="2">
        <f t="shared" si="68"/>
        <v>0</v>
      </c>
      <c r="F147" s="2">
        <f t="shared" si="69"/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20"/>
      <c r="P147" s="4"/>
    </row>
    <row r="148" spans="1:16" ht="18" customHeight="1">
      <c r="A148" s="59" t="s">
        <v>18</v>
      </c>
      <c r="B148" s="14" t="s">
        <v>45</v>
      </c>
      <c r="C148" s="10"/>
      <c r="D148" s="10" t="s">
        <v>11</v>
      </c>
      <c r="E148" s="2">
        <f>SUM(E149:E159)</f>
        <v>2241295.92</v>
      </c>
      <c r="F148" s="2">
        <f aca="true" t="shared" si="70" ref="F148:N148">SUM(F149:F159)</f>
        <v>1358771</v>
      </c>
      <c r="G148" s="2">
        <f t="shared" si="70"/>
        <v>1353365.0200000003</v>
      </c>
      <c r="H148" s="2">
        <f t="shared" si="70"/>
        <v>942886.2</v>
      </c>
      <c r="I148" s="2">
        <f t="shared" si="70"/>
        <v>7627.1</v>
      </c>
      <c r="J148" s="2">
        <f t="shared" si="70"/>
        <v>127.1</v>
      </c>
      <c r="K148" s="2">
        <f t="shared" si="70"/>
        <v>477868.29999999993</v>
      </c>
      <c r="L148" s="2">
        <f>SUM(L149:L159)</f>
        <v>149646.59999999998</v>
      </c>
      <c r="M148" s="2">
        <f>SUM(M149:M159)</f>
        <v>402435.4999999999</v>
      </c>
      <c r="N148" s="2">
        <f t="shared" si="70"/>
        <v>266111.1</v>
      </c>
      <c r="O148" s="64" t="s">
        <v>88</v>
      </c>
      <c r="P148" s="4"/>
    </row>
    <row r="149" spans="1:16" s="12" customFormat="1" ht="31.5" customHeight="1">
      <c r="A149" s="60"/>
      <c r="B149" s="92" t="s">
        <v>119</v>
      </c>
      <c r="C149" s="10" t="s">
        <v>75</v>
      </c>
      <c r="D149" s="10" t="s">
        <v>12</v>
      </c>
      <c r="E149" s="2">
        <f>G149+I149+K149+M149</f>
        <v>180341.6</v>
      </c>
      <c r="F149" s="2">
        <f aca="true" t="shared" si="71" ref="E149:F153">H149+J149+L149+N149</f>
        <v>162018.30000000002</v>
      </c>
      <c r="G149" s="2">
        <f aca="true" t="shared" si="72" ref="G149:H153">G161+G197+G173+G185+G204+G211+G218+G225</f>
        <v>116756.20000000001</v>
      </c>
      <c r="H149" s="2">
        <f t="shared" si="72"/>
        <v>104347.90000000001</v>
      </c>
      <c r="I149" s="2">
        <f aca="true" t="shared" si="73" ref="I149:N149">I161+I197+I173+I185+I204+I211+I218+I225</f>
        <v>2500</v>
      </c>
      <c r="J149" s="2">
        <f t="shared" si="73"/>
        <v>0</v>
      </c>
      <c r="K149" s="2">
        <f t="shared" si="73"/>
        <v>27766.9</v>
      </c>
      <c r="L149" s="2">
        <f t="shared" si="73"/>
        <v>24351.9</v>
      </c>
      <c r="M149" s="2">
        <f t="shared" si="73"/>
        <v>33318.5</v>
      </c>
      <c r="N149" s="2">
        <f t="shared" si="73"/>
        <v>33318.5</v>
      </c>
      <c r="O149" s="65"/>
      <c r="P149" s="4"/>
    </row>
    <row r="150" spans="1:16" s="12" customFormat="1" ht="18" customHeight="1">
      <c r="A150" s="60"/>
      <c r="B150" s="92"/>
      <c r="C150" s="72" t="s">
        <v>76</v>
      </c>
      <c r="D150" s="10" t="s">
        <v>13</v>
      </c>
      <c r="E150" s="2">
        <f t="shared" si="71"/>
        <v>181324.74</v>
      </c>
      <c r="F150" s="2">
        <f>H150+J150+L150+N150</f>
        <v>173599.8</v>
      </c>
      <c r="G150" s="2">
        <f t="shared" si="72"/>
        <v>111578.54000000001</v>
      </c>
      <c r="H150" s="2">
        <f t="shared" si="72"/>
        <v>109904.6</v>
      </c>
      <c r="I150" s="2">
        <f aca="true" t="shared" si="74" ref="I150:N150">I162+I198+I174+I186+I205+I212+I219+I226</f>
        <v>2500</v>
      </c>
      <c r="J150" s="2">
        <f t="shared" si="74"/>
        <v>0</v>
      </c>
      <c r="K150" s="2">
        <f t="shared" si="74"/>
        <v>28121.9</v>
      </c>
      <c r="L150" s="2">
        <f t="shared" si="74"/>
        <v>24570.9</v>
      </c>
      <c r="M150" s="2">
        <f t="shared" si="74"/>
        <v>39124.3</v>
      </c>
      <c r="N150" s="2">
        <f t="shared" si="74"/>
        <v>39124.3</v>
      </c>
      <c r="O150" s="65"/>
      <c r="P150" s="4"/>
    </row>
    <row r="151" spans="1:16" s="12" customFormat="1" ht="18" customHeight="1">
      <c r="A151" s="60"/>
      <c r="B151" s="92"/>
      <c r="C151" s="72"/>
      <c r="D151" s="10" t="s">
        <v>14</v>
      </c>
      <c r="E151" s="2">
        <f t="shared" si="71"/>
        <v>197720.5</v>
      </c>
      <c r="F151" s="2">
        <f t="shared" si="71"/>
        <v>188559.5</v>
      </c>
      <c r="G151" s="2">
        <f t="shared" si="72"/>
        <v>113801.6</v>
      </c>
      <c r="H151" s="2">
        <f t="shared" si="72"/>
        <v>110275.6</v>
      </c>
      <c r="I151" s="2">
        <f aca="true" t="shared" si="75" ref="I151:N151">I163+I199+I175+I187+I206+I213+I220+I227</f>
        <v>2500</v>
      </c>
      <c r="J151" s="2">
        <f t="shared" si="75"/>
        <v>0</v>
      </c>
      <c r="K151" s="2">
        <f t="shared" si="75"/>
        <v>40223.799999999996</v>
      </c>
      <c r="L151" s="2">
        <f t="shared" si="75"/>
        <v>37088.799999999996</v>
      </c>
      <c r="M151" s="2">
        <f t="shared" si="75"/>
        <v>41195.1</v>
      </c>
      <c r="N151" s="2">
        <f t="shared" si="75"/>
        <v>41195.1</v>
      </c>
      <c r="O151" s="65"/>
      <c r="P151" s="4"/>
    </row>
    <row r="152" spans="1:16" s="12" customFormat="1" ht="18" customHeight="1">
      <c r="A152" s="60"/>
      <c r="B152" s="92"/>
      <c r="C152" s="72"/>
      <c r="D152" s="10" t="s">
        <v>15</v>
      </c>
      <c r="E152" s="2">
        <f t="shared" si="71"/>
        <v>221087.6</v>
      </c>
      <c r="F152" s="2">
        <f t="shared" si="71"/>
        <v>217736.5</v>
      </c>
      <c r="G152" s="2">
        <f>G164+G200+G176+G188+G207+G214+G221+G228</f>
        <v>127114.9</v>
      </c>
      <c r="H152" s="2">
        <f t="shared" si="72"/>
        <v>123763.8</v>
      </c>
      <c r="I152" s="2">
        <f aca="true" t="shared" si="76" ref="I152:N152">I164+I200+I176+I188+I207+I214+I221+I228</f>
        <v>127.1</v>
      </c>
      <c r="J152" s="2">
        <f t="shared" si="76"/>
        <v>127.1</v>
      </c>
      <c r="K152" s="2">
        <f t="shared" si="76"/>
        <v>47521.100000000006</v>
      </c>
      <c r="L152" s="2">
        <f t="shared" si="76"/>
        <v>47521.100000000006</v>
      </c>
      <c r="M152" s="2">
        <f t="shared" si="76"/>
        <v>46324.5</v>
      </c>
      <c r="N152" s="2">
        <f t="shared" si="76"/>
        <v>46324.5</v>
      </c>
      <c r="O152" s="65"/>
      <c r="P152" s="4"/>
    </row>
    <row r="153" spans="1:16" s="12" customFormat="1" ht="18" customHeight="1">
      <c r="A153" s="60"/>
      <c r="B153" s="92"/>
      <c r="C153" s="72"/>
      <c r="D153" s="10" t="s">
        <v>16</v>
      </c>
      <c r="E153" s="2">
        <f t="shared" si="71"/>
        <v>214693.84</v>
      </c>
      <c r="F153" s="2">
        <f t="shared" si="71"/>
        <v>169072.19999999998</v>
      </c>
      <c r="G153" s="2">
        <f t="shared" si="72"/>
        <v>128959.54</v>
      </c>
      <c r="H153" s="2">
        <f t="shared" si="72"/>
        <v>125714.4</v>
      </c>
      <c r="I153" s="2">
        <f aca="true" t="shared" si="77" ref="I153:N153">I165+I201+I177+I189+I208+I215+I222+I229</f>
        <v>0</v>
      </c>
      <c r="J153" s="2">
        <f t="shared" si="77"/>
        <v>0</v>
      </c>
      <c r="K153" s="2">
        <f t="shared" si="77"/>
        <v>47747.8</v>
      </c>
      <c r="L153" s="2">
        <f t="shared" si="77"/>
        <v>5371.3</v>
      </c>
      <c r="M153" s="2">
        <f t="shared" si="77"/>
        <v>37986.5</v>
      </c>
      <c r="N153" s="2">
        <f t="shared" si="77"/>
        <v>37986.5</v>
      </c>
      <c r="O153" s="65"/>
      <c r="P153" s="4"/>
    </row>
    <row r="154" spans="1:16" s="12" customFormat="1" ht="18" customHeight="1">
      <c r="A154" s="60"/>
      <c r="B154" s="92"/>
      <c r="C154" s="72"/>
      <c r="D154" s="10" t="s">
        <v>17</v>
      </c>
      <c r="E154" s="2">
        <f aca="true" t="shared" si="78" ref="E154:F159">G154+I154+K154+M154</f>
        <v>207687.94</v>
      </c>
      <c r="F154" s="2">
        <f t="shared" si="78"/>
        <v>162066.3</v>
      </c>
      <c r="G154" s="2">
        <f aca="true" t="shared" si="79" ref="G154:N154">G166+G202+G178+G190+G209+G216+G223+G230</f>
        <v>125859.04</v>
      </c>
      <c r="H154" s="2">
        <f t="shared" si="79"/>
        <v>122613.9</v>
      </c>
      <c r="I154" s="2">
        <f t="shared" si="79"/>
        <v>0</v>
      </c>
      <c r="J154" s="2">
        <f t="shared" si="79"/>
        <v>0</v>
      </c>
      <c r="K154" s="2">
        <f t="shared" si="79"/>
        <v>47747.8</v>
      </c>
      <c r="L154" s="2">
        <f t="shared" si="79"/>
        <v>5371.3</v>
      </c>
      <c r="M154" s="2">
        <f t="shared" si="79"/>
        <v>34081.1</v>
      </c>
      <c r="N154" s="2">
        <f t="shared" si="79"/>
        <v>34081.1</v>
      </c>
      <c r="O154" s="65"/>
      <c r="P154" s="4"/>
    </row>
    <row r="155" spans="1:16" s="12" customFormat="1" ht="18" customHeight="1">
      <c r="A155" s="60"/>
      <c r="B155" s="92"/>
      <c r="C155" s="72"/>
      <c r="D155" s="10" t="s">
        <v>99</v>
      </c>
      <c r="E155" s="2">
        <f t="shared" si="78"/>
        <v>207687.94</v>
      </c>
      <c r="F155" s="2">
        <f t="shared" si="78"/>
        <v>162066.3</v>
      </c>
      <c r="G155" s="2">
        <f>G167+G179+G191+G231</f>
        <v>125859.04</v>
      </c>
      <c r="H155" s="2">
        <f aca="true" t="shared" si="80" ref="H155:N155">H167+H179+H191+H231</f>
        <v>122613.9</v>
      </c>
      <c r="I155" s="2">
        <f t="shared" si="80"/>
        <v>0</v>
      </c>
      <c r="J155" s="2">
        <f t="shared" si="80"/>
        <v>0</v>
      </c>
      <c r="K155" s="2">
        <f t="shared" si="80"/>
        <v>47747.8</v>
      </c>
      <c r="L155" s="2">
        <f t="shared" si="80"/>
        <v>5371.3</v>
      </c>
      <c r="M155" s="2">
        <f t="shared" si="80"/>
        <v>34081.1</v>
      </c>
      <c r="N155" s="2">
        <f t="shared" si="80"/>
        <v>34081.1</v>
      </c>
      <c r="O155" s="65"/>
      <c r="P155" s="4"/>
    </row>
    <row r="156" spans="1:16" s="12" customFormat="1" ht="18" customHeight="1">
      <c r="A156" s="60"/>
      <c r="B156" s="92"/>
      <c r="C156" s="72"/>
      <c r="D156" s="10" t="s">
        <v>100</v>
      </c>
      <c r="E156" s="2">
        <f t="shared" si="78"/>
        <v>207687.94</v>
      </c>
      <c r="F156" s="2">
        <f t="shared" si="78"/>
        <v>123652.1</v>
      </c>
      <c r="G156" s="2">
        <f aca="true" t="shared" si="81" ref="G156:N156">G168+G180+G192+G232</f>
        <v>125859.04</v>
      </c>
      <c r="H156" s="2">
        <f t="shared" si="81"/>
        <v>123652.1</v>
      </c>
      <c r="I156" s="2">
        <f t="shared" si="81"/>
        <v>0</v>
      </c>
      <c r="J156" s="2">
        <f t="shared" si="81"/>
        <v>0</v>
      </c>
      <c r="K156" s="2">
        <f t="shared" si="81"/>
        <v>47747.8</v>
      </c>
      <c r="L156" s="2">
        <f t="shared" si="81"/>
        <v>0</v>
      </c>
      <c r="M156" s="2">
        <f t="shared" si="81"/>
        <v>34081.1</v>
      </c>
      <c r="N156" s="2">
        <f t="shared" si="81"/>
        <v>0</v>
      </c>
      <c r="O156" s="65"/>
      <c r="P156" s="4"/>
    </row>
    <row r="157" spans="1:16" s="12" customFormat="1" ht="18" customHeight="1">
      <c r="A157" s="60"/>
      <c r="B157" s="92"/>
      <c r="C157" s="72"/>
      <c r="D157" s="10" t="s">
        <v>101</v>
      </c>
      <c r="E157" s="2">
        <f t="shared" si="78"/>
        <v>207687.94</v>
      </c>
      <c r="F157" s="2">
        <f t="shared" si="78"/>
        <v>0</v>
      </c>
      <c r="G157" s="2">
        <f aca="true" t="shared" si="82" ref="G157:N157">G169+G181+G193+G233</f>
        <v>125859.04</v>
      </c>
      <c r="H157" s="2">
        <f t="shared" si="82"/>
        <v>0</v>
      </c>
      <c r="I157" s="2">
        <f t="shared" si="82"/>
        <v>0</v>
      </c>
      <c r="J157" s="2">
        <f t="shared" si="82"/>
        <v>0</v>
      </c>
      <c r="K157" s="2">
        <f t="shared" si="82"/>
        <v>47747.8</v>
      </c>
      <c r="L157" s="2">
        <f t="shared" si="82"/>
        <v>0</v>
      </c>
      <c r="M157" s="2">
        <f t="shared" si="82"/>
        <v>34081.1</v>
      </c>
      <c r="N157" s="2">
        <f t="shared" si="82"/>
        <v>0</v>
      </c>
      <c r="O157" s="65"/>
      <c r="P157" s="4"/>
    </row>
    <row r="158" spans="1:16" s="12" customFormat="1" ht="18" customHeight="1">
      <c r="A158" s="60"/>
      <c r="B158" s="92"/>
      <c r="C158" s="72"/>
      <c r="D158" s="10" t="s">
        <v>102</v>
      </c>
      <c r="E158" s="2">
        <f t="shared" si="78"/>
        <v>207687.94</v>
      </c>
      <c r="F158" s="2">
        <f t="shared" si="78"/>
        <v>0</v>
      </c>
      <c r="G158" s="2">
        <f aca="true" t="shared" si="83" ref="G158:N158">G170+G182+G194+G234</f>
        <v>125859.04</v>
      </c>
      <c r="H158" s="2">
        <f t="shared" si="83"/>
        <v>0</v>
      </c>
      <c r="I158" s="2">
        <f t="shared" si="83"/>
        <v>0</v>
      </c>
      <c r="J158" s="2">
        <f t="shared" si="83"/>
        <v>0</v>
      </c>
      <c r="K158" s="2">
        <f t="shared" si="83"/>
        <v>47747.8</v>
      </c>
      <c r="L158" s="2">
        <f t="shared" si="83"/>
        <v>0</v>
      </c>
      <c r="M158" s="2">
        <f t="shared" si="83"/>
        <v>34081.1</v>
      </c>
      <c r="N158" s="2">
        <f t="shared" si="83"/>
        <v>0</v>
      </c>
      <c r="O158" s="65"/>
      <c r="P158" s="4"/>
    </row>
    <row r="159" spans="1:16" s="12" customFormat="1" ht="18" customHeight="1">
      <c r="A159" s="60"/>
      <c r="B159" s="92"/>
      <c r="C159" s="73"/>
      <c r="D159" s="10" t="s">
        <v>103</v>
      </c>
      <c r="E159" s="2">
        <f t="shared" si="78"/>
        <v>207687.94</v>
      </c>
      <c r="F159" s="2">
        <f t="shared" si="78"/>
        <v>0</v>
      </c>
      <c r="G159" s="2">
        <f aca="true" t="shared" si="84" ref="G159:N159">G171+G183+G195+G235</f>
        <v>125859.04</v>
      </c>
      <c r="H159" s="2">
        <f t="shared" si="84"/>
        <v>0</v>
      </c>
      <c r="I159" s="2">
        <f t="shared" si="84"/>
        <v>0</v>
      </c>
      <c r="J159" s="2">
        <f t="shared" si="84"/>
        <v>0</v>
      </c>
      <c r="K159" s="2">
        <f t="shared" si="84"/>
        <v>47747.8</v>
      </c>
      <c r="L159" s="2">
        <f t="shared" si="84"/>
        <v>0</v>
      </c>
      <c r="M159" s="2">
        <f t="shared" si="84"/>
        <v>34081.1</v>
      </c>
      <c r="N159" s="2">
        <f t="shared" si="84"/>
        <v>0</v>
      </c>
      <c r="O159" s="65"/>
      <c r="P159" s="4"/>
    </row>
    <row r="160" spans="1:16" s="12" customFormat="1" ht="15" customHeight="1">
      <c r="A160" s="60"/>
      <c r="B160" s="77" t="s">
        <v>64</v>
      </c>
      <c r="C160" s="6"/>
      <c r="D160" s="10" t="s">
        <v>11</v>
      </c>
      <c r="E160" s="2">
        <f>SUM(E161:E171)</f>
        <v>2164329.9899999998</v>
      </c>
      <c r="F160" s="2">
        <f aca="true" t="shared" si="85" ref="F160:N160">SUM(F161:F171)</f>
        <v>1328417.4700000002</v>
      </c>
      <c r="G160" s="2">
        <f t="shared" si="85"/>
        <v>1297949.5200000003</v>
      </c>
      <c r="H160" s="2">
        <f t="shared" si="85"/>
        <v>916898.1</v>
      </c>
      <c r="I160" s="2">
        <f t="shared" si="85"/>
        <v>0</v>
      </c>
      <c r="J160" s="2">
        <f t="shared" si="85"/>
        <v>0</v>
      </c>
      <c r="K160" s="2">
        <f t="shared" si="85"/>
        <v>468125.49999999994</v>
      </c>
      <c r="L160" s="2">
        <f>SUM(L161:L171)</f>
        <v>149588.8</v>
      </c>
      <c r="M160" s="2">
        <f>SUM(M161:M171)</f>
        <v>398254.9699999999</v>
      </c>
      <c r="N160" s="2">
        <f t="shared" si="85"/>
        <v>261930.57</v>
      </c>
      <c r="O160" s="65"/>
      <c r="P160" s="4"/>
    </row>
    <row r="161" spans="1:16" s="28" customFormat="1" ht="79.5" customHeight="1">
      <c r="A161" s="60"/>
      <c r="B161" s="77"/>
      <c r="C161" s="1" t="s">
        <v>77</v>
      </c>
      <c r="D161" s="1" t="s">
        <v>12</v>
      </c>
      <c r="E161" s="2">
        <f aca="true" t="shared" si="86" ref="E161:F165">G161+I161+K161+M161</f>
        <v>164731.80000000002</v>
      </c>
      <c r="F161" s="2">
        <f t="shared" si="86"/>
        <v>160327.90000000002</v>
      </c>
      <c r="G161" s="3">
        <f>7559.8-2100+H161-1400+344.1</f>
        <v>108642.20000000001</v>
      </c>
      <c r="H161" s="3">
        <v>104238.3</v>
      </c>
      <c r="I161" s="3">
        <v>0</v>
      </c>
      <c r="J161" s="3">
        <v>0</v>
      </c>
      <c r="K161" s="3">
        <f>L161</f>
        <v>24351.9</v>
      </c>
      <c r="L161" s="3">
        <v>24351.9</v>
      </c>
      <c r="M161" s="3">
        <v>31737.7</v>
      </c>
      <c r="N161" s="3">
        <f aca="true" t="shared" si="87" ref="N161:N166">M161</f>
        <v>31737.7</v>
      </c>
      <c r="O161" s="65"/>
      <c r="P161" s="39"/>
    </row>
    <row r="162" spans="1:16" ht="89.25">
      <c r="A162" s="60"/>
      <c r="B162" s="77"/>
      <c r="C162" s="1" t="s">
        <v>78</v>
      </c>
      <c r="D162" s="1" t="s">
        <v>13</v>
      </c>
      <c r="E162" s="2">
        <f>G162+I162+K162+M162</f>
        <v>173705.71</v>
      </c>
      <c r="F162" s="2">
        <f>H162+J162+L162+N162</f>
        <v>171615.77</v>
      </c>
      <c r="G162" s="3">
        <f>H162+487.94+1186</f>
        <v>110218.94</v>
      </c>
      <c r="H162" s="3">
        <f>109545.8-H174-H186-H205-H212-H226+30+700+50-1496.4-1390.5-66+2531.7</f>
        <v>108545</v>
      </c>
      <c r="I162" s="3">
        <v>0</v>
      </c>
      <c r="J162" s="3">
        <v>0</v>
      </c>
      <c r="K162" s="3">
        <f>L162+416</f>
        <v>24986.9</v>
      </c>
      <c r="L162" s="3">
        <f>31823.2-121-7131.3</f>
        <v>24570.9</v>
      </c>
      <c r="M162" s="3">
        <f>39124.3-M198-M174-M186-M205-M212</f>
        <v>38499.87</v>
      </c>
      <c r="N162" s="3">
        <f t="shared" si="87"/>
        <v>38499.87</v>
      </c>
      <c r="O162" s="65"/>
      <c r="P162" s="4"/>
    </row>
    <row r="163" spans="1:16" ht="15" customHeight="1">
      <c r="A163" s="60"/>
      <c r="B163" s="77"/>
      <c r="C163" s="59" t="s">
        <v>120</v>
      </c>
      <c r="D163" s="1" t="s">
        <v>14</v>
      </c>
      <c r="E163" s="2">
        <f t="shared" si="86"/>
        <v>190853</v>
      </c>
      <c r="F163" s="2">
        <f t="shared" si="86"/>
        <v>187426</v>
      </c>
      <c r="G163" s="3">
        <f>H163+3427</f>
        <v>113420.7</v>
      </c>
      <c r="H163" s="3">
        <f>110093.1-H175-H187-H227+96.5+86</f>
        <v>109993.7</v>
      </c>
      <c r="I163" s="3">
        <v>0</v>
      </c>
      <c r="J163" s="3">
        <v>0</v>
      </c>
      <c r="K163" s="3">
        <f>L163</f>
        <v>37088.799999999996</v>
      </c>
      <c r="L163" s="3">
        <f>75318.7-36741.8-1488.1</f>
        <v>37088.799999999996</v>
      </c>
      <c r="M163" s="3">
        <f>41195.1-M199-M175-M187-M206-M213</f>
        <v>40343.5</v>
      </c>
      <c r="N163" s="3">
        <f t="shared" si="87"/>
        <v>40343.5</v>
      </c>
      <c r="O163" s="65"/>
      <c r="P163" s="4"/>
    </row>
    <row r="164" spans="1:16" ht="29.25" customHeight="1">
      <c r="A164" s="60"/>
      <c r="B164" s="77"/>
      <c r="C164" s="60"/>
      <c r="D164" s="1" t="s">
        <v>15</v>
      </c>
      <c r="E164" s="2">
        <f t="shared" si="86"/>
        <v>212843</v>
      </c>
      <c r="F164" s="2">
        <f>H164+J164+L164+N164</f>
        <v>210497.90000000002</v>
      </c>
      <c r="G164" s="3">
        <v>120178.9</v>
      </c>
      <c r="H164" s="3">
        <v>117833.8</v>
      </c>
      <c r="I164" s="3">
        <v>0</v>
      </c>
      <c r="J164" s="3">
        <v>0</v>
      </c>
      <c r="K164" s="3">
        <v>47463.3</v>
      </c>
      <c r="L164" s="3">
        <f>K164</f>
        <v>47463.3</v>
      </c>
      <c r="M164" s="3">
        <v>45200.8</v>
      </c>
      <c r="N164" s="3">
        <f t="shared" si="87"/>
        <v>45200.8</v>
      </c>
      <c r="O164" s="65"/>
      <c r="P164" s="4"/>
    </row>
    <row r="165" spans="1:16" ht="27.75" customHeight="1">
      <c r="A165" s="60"/>
      <c r="B165" s="77"/>
      <c r="C165" s="60"/>
      <c r="D165" s="1" t="s">
        <v>16</v>
      </c>
      <c r="E165" s="2">
        <f t="shared" si="86"/>
        <v>206704.84</v>
      </c>
      <c r="F165" s="2">
        <f>H165+J165+L165+N165</f>
        <v>161083.2</v>
      </c>
      <c r="G165" s="3">
        <f>H165+2345.14+900</f>
        <v>120970.54</v>
      </c>
      <c r="H165" s="3">
        <f>73747+43978.4</f>
        <v>117725.4</v>
      </c>
      <c r="I165" s="3">
        <v>0</v>
      </c>
      <c r="J165" s="3">
        <v>0</v>
      </c>
      <c r="K165" s="3">
        <v>47747.8</v>
      </c>
      <c r="L165" s="3">
        <v>5371.3</v>
      </c>
      <c r="M165" s="3">
        <v>37986.5</v>
      </c>
      <c r="N165" s="3">
        <f t="shared" si="87"/>
        <v>37986.5</v>
      </c>
      <c r="O165" s="65"/>
      <c r="P165" s="4"/>
    </row>
    <row r="166" spans="1:16" ht="27.75" customHeight="1">
      <c r="A166" s="60"/>
      <c r="B166" s="77"/>
      <c r="C166" s="60"/>
      <c r="D166" s="1" t="s">
        <v>17</v>
      </c>
      <c r="E166" s="2">
        <f aca="true" t="shared" si="88" ref="E166:F171">G166+I166+K166+M166</f>
        <v>202581.94</v>
      </c>
      <c r="F166" s="2">
        <f>H166+J166+L166+N166</f>
        <v>156960.3</v>
      </c>
      <c r="G166" s="3">
        <f>H166+2345.14+900</f>
        <v>120753.04</v>
      </c>
      <c r="H166" s="3">
        <f>122613.9-H178-H190-H230</f>
        <v>117507.9</v>
      </c>
      <c r="I166" s="3">
        <v>0</v>
      </c>
      <c r="J166" s="3">
        <v>0</v>
      </c>
      <c r="K166" s="3">
        <f aca="true" t="shared" si="89" ref="K166:K171">K165</f>
        <v>47747.8</v>
      </c>
      <c r="L166" s="3">
        <v>5371.3</v>
      </c>
      <c r="M166" s="3">
        <v>34081.1</v>
      </c>
      <c r="N166" s="3">
        <f t="shared" si="87"/>
        <v>34081.1</v>
      </c>
      <c r="O166" s="65"/>
      <c r="P166" s="4"/>
    </row>
    <row r="167" spans="1:16" ht="27.75" customHeight="1">
      <c r="A167" s="60"/>
      <c r="B167" s="77"/>
      <c r="C167" s="60"/>
      <c r="D167" s="1" t="s">
        <v>99</v>
      </c>
      <c r="E167" s="2">
        <f t="shared" si="88"/>
        <v>202581.94</v>
      </c>
      <c r="F167" s="2">
        <f t="shared" si="88"/>
        <v>156960.3</v>
      </c>
      <c r="G167" s="3">
        <f>G166</f>
        <v>120753.04</v>
      </c>
      <c r="H167" s="3">
        <f>H166</f>
        <v>117507.9</v>
      </c>
      <c r="I167" s="3">
        <v>0</v>
      </c>
      <c r="J167" s="3">
        <v>0</v>
      </c>
      <c r="K167" s="3">
        <f t="shared" si="89"/>
        <v>47747.8</v>
      </c>
      <c r="L167" s="3">
        <v>5371.3</v>
      </c>
      <c r="M167" s="3">
        <f>M166</f>
        <v>34081.1</v>
      </c>
      <c r="N167" s="3">
        <f>M167</f>
        <v>34081.1</v>
      </c>
      <c r="O167" s="65"/>
      <c r="P167" s="4"/>
    </row>
    <row r="168" spans="1:16" ht="27.75" customHeight="1">
      <c r="A168" s="60"/>
      <c r="B168" s="77"/>
      <c r="C168" s="60"/>
      <c r="D168" s="1" t="s">
        <v>100</v>
      </c>
      <c r="E168" s="2">
        <f t="shared" si="88"/>
        <v>202581.94</v>
      </c>
      <c r="F168" s="2">
        <f t="shared" si="88"/>
        <v>123546.1</v>
      </c>
      <c r="G168" s="3">
        <f>G167</f>
        <v>120753.04</v>
      </c>
      <c r="H168" s="3">
        <v>123546.1</v>
      </c>
      <c r="I168" s="3">
        <v>0</v>
      </c>
      <c r="J168" s="3">
        <v>0</v>
      </c>
      <c r="K168" s="3">
        <f t="shared" si="89"/>
        <v>47747.8</v>
      </c>
      <c r="L168" s="3">
        <v>0</v>
      </c>
      <c r="M168" s="3">
        <f>M167</f>
        <v>34081.1</v>
      </c>
      <c r="N168" s="3">
        <v>0</v>
      </c>
      <c r="O168" s="65"/>
      <c r="P168" s="4"/>
    </row>
    <row r="169" spans="1:16" ht="27.75" customHeight="1">
      <c r="A169" s="60"/>
      <c r="B169" s="77"/>
      <c r="C169" s="60"/>
      <c r="D169" s="1" t="s">
        <v>101</v>
      </c>
      <c r="E169" s="2">
        <f t="shared" si="88"/>
        <v>202581.94</v>
      </c>
      <c r="F169" s="2">
        <f t="shared" si="88"/>
        <v>0</v>
      </c>
      <c r="G169" s="3">
        <f>G168</f>
        <v>120753.04</v>
      </c>
      <c r="H169" s="3">
        <v>0</v>
      </c>
      <c r="I169" s="3">
        <v>0</v>
      </c>
      <c r="J169" s="3">
        <v>0</v>
      </c>
      <c r="K169" s="3">
        <f t="shared" si="89"/>
        <v>47747.8</v>
      </c>
      <c r="L169" s="3">
        <v>0</v>
      </c>
      <c r="M169" s="3">
        <f>M168</f>
        <v>34081.1</v>
      </c>
      <c r="N169" s="3">
        <v>0</v>
      </c>
      <c r="O169" s="65"/>
      <c r="P169" s="4"/>
    </row>
    <row r="170" spans="1:16" ht="27.75" customHeight="1">
      <c r="A170" s="60"/>
      <c r="B170" s="77"/>
      <c r="C170" s="60"/>
      <c r="D170" s="1" t="s">
        <v>102</v>
      </c>
      <c r="E170" s="2">
        <f t="shared" si="88"/>
        <v>202581.94</v>
      </c>
      <c r="F170" s="2">
        <f t="shared" si="88"/>
        <v>0</v>
      </c>
      <c r="G170" s="3">
        <f>G169</f>
        <v>120753.04</v>
      </c>
      <c r="H170" s="3">
        <v>0</v>
      </c>
      <c r="I170" s="3">
        <v>0</v>
      </c>
      <c r="J170" s="3">
        <v>0</v>
      </c>
      <c r="K170" s="3">
        <f t="shared" si="89"/>
        <v>47747.8</v>
      </c>
      <c r="L170" s="3">
        <v>0</v>
      </c>
      <c r="M170" s="3">
        <f>M169</f>
        <v>34081.1</v>
      </c>
      <c r="N170" s="3">
        <v>0</v>
      </c>
      <c r="O170" s="65"/>
      <c r="P170" s="4"/>
    </row>
    <row r="171" spans="1:16" ht="22.5" customHeight="1">
      <c r="A171" s="60"/>
      <c r="B171" s="77"/>
      <c r="C171" s="87"/>
      <c r="D171" s="1" t="s">
        <v>103</v>
      </c>
      <c r="E171" s="2">
        <f t="shared" si="88"/>
        <v>202581.94</v>
      </c>
      <c r="F171" s="2">
        <f t="shared" si="88"/>
        <v>0</v>
      </c>
      <c r="G171" s="3">
        <f>G170</f>
        <v>120753.04</v>
      </c>
      <c r="H171" s="3">
        <v>0</v>
      </c>
      <c r="I171" s="3">
        <v>0</v>
      </c>
      <c r="J171" s="3">
        <v>0</v>
      </c>
      <c r="K171" s="3">
        <f t="shared" si="89"/>
        <v>47747.8</v>
      </c>
      <c r="L171" s="3">
        <v>0</v>
      </c>
      <c r="M171" s="3">
        <f>M170</f>
        <v>34081.1</v>
      </c>
      <c r="N171" s="3">
        <v>0</v>
      </c>
      <c r="O171" s="65"/>
      <c r="P171" s="4"/>
    </row>
    <row r="172" spans="1:16" s="12" customFormat="1" ht="15.75" customHeight="1">
      <c r="A172" s="60"/>
      <c r="B172" s="77" t="s">
        <v>62</v>
      </c>
      <c r="C172" s="13"/>
      <c r="D172" s="10" t="s">
        <v>11</v>
      </c>
      <c r="E172" s="2">
        <f>SUM(E173:E183)</f>
        <v>68186.23000000001</v>
      </c>
      <c r="F172" s="2">
        <f aca="true" t="shared" si="90" ref="F172:N172">SUM(F173:F183)</f>
        <v>26764.23</v>
      </c>
      <c r="G172" s="2">
        <f t="shared" si="90"/>
        <v>48709.6</v>
      </c>
      <c r="H172" s="2">
        <f t="shared" si="90"/>
        <v>24092.6</v>
      </c>
      <c r="I172" s="2">
        <f t="shared" si="90"/>
        <v>7627.1</v>
      </c>
      <c r="J172" s="2">
        <f t="shared" si="90"/>
        <v>127.1</v>
      </c>
      <c r="K172" s="2">
        <f t="shared" si="90"/>
        <v>9362.8</v>
      </c>
      <c r="L172" s="2">
        <f t="shared" si="90"/>
        <v>57.8</v>
      </c>
      <c r="M172" s="2">
        <f t="shared" si="90"/>
        <v>2486.73</v>
      </c>
      <c r="N172" s="2">
        <f t="shared" si="90"/>
        <v>2486.73</v>
      </c>
      <c r="O172" s="65"/>
      <c r="P172" s="4"/>
    </row>
    <row r="173" spans="1:16" s="28" customFormat="1" ht="40.5" customHeight="1">
      <c r="A173" s="60"/>
      <c r="B173" s="77"/>
      <c r="C173" s="1" t="s">
        <v>79</v>
      </c>
      <c r="D173" s="1" t="s">
        <v>12</v>
      </c>
      <c r="E173" s="2">
        <f aca="true" t="shared" si="91" ref="E173:E183">G173+I173+K173+M173</f>
        <v>10633</v>
      </c>
      <c r="F173" s="2">
        <f aca="true" t="shared" si="92" ref="F173:F183">H173+J173+L173+N173</f>
        <v>580</v>
      </c>
      <c r="G173" s="3">
        <f>418+4100+H173</f>
        <v>4598</v>
      </c>
      <c r="H173" s="3">
        <v>80</v>
      </c>
      <c r="I173" s="3">
        <v>2500</v>
      </c>
      <c r="J173" s="3">
        <v>0</v>
      </c>
      <c r="K173" s="3">
        <v>3035</v>
      </c>
      <c r="L173" s="3">
        <v>0</v>
      </c>
      <c r="M173" s="3">
        <v>500</v>
      </c>
      <c r="N173" s="3">
        <f>M173</f>
        <v>500</v>
      </c>
      <c r="O173" s="65"/>
      <c r="P173" s="39"/>
    </row>
    <row r="174" spans="1:16" ht="38.25" customHeight="1">
      <c r="A174" s="60"/>
      <c r="B174" s="77"/>
      <c r="C174" s="59" t="s">
        <v>121</v>
      </c>
      <c r="D174" s="1" t="s">
        <v>13</v>
      </c>
      <c r="E174" s="2">
        <f t="shared" si="91"/>
        <v>6202.13</v>
      </c>
      <c r="F174" s="2">
        <f t="shared" si="92"/>
        <v>567.13</v>
      </c>
      <c r="G174" s="3">
        <f>H174</f>
        <v>100</v>
      </c>
      <c r="H174" s="3">
        <v>100</v>
      </c>
      <c r="I174" s="3">
        <v>2500</v>
      </c>
      <c r="J174" s="3">
        <v>0</v>
      </c>
      <c r="K174" s="3">
        <v>3135</v>
      </c>
      <c r="L174" s="3">
        <v>0</v>
      </c>
      <c r="M174" s="3">
        <v>467.13</v>
      </c>
      <c r="N174" s="3">
        <f>M174</f>
        <v>467.13</v>
      </c>
      <c r="O174" s="65"/>
      <c r="P174" s="4"/>
    </row>
    <row r="175" spans="1:16" ht="15" customHeight="1">
      <c r="A175" s="60"/>
      <c r="B175" s="77"/>
      <c r="C175" s="60"/>
      <c r="D175" s="1" t="s">
        <v>14</v>
      </c>
      <c r="E175" s="2">
        <f t="shared" si="91"/>
        <v>6474</v>
      </c>
      <c r="F175" s="2">
        <f t="shared" si="92"/>
        <v>740</v>
      </c>
      <c r="G175" s="3">
        <f>H175+99</f>
        <v>198.6</v>
      </c>
      <c r="H175" s="3">
        <v>99.6</v>
      </c>
      <c r="I175" s="3">
        <v>2500</v>
      </c>
      <c r="J175" s="3">
        <v>0</v>
      </c>
      <c r="K175" s="3">
        <v>3135</v>
      </c>
      <c r="L175" s="3">
        <v>0</v>
      </c>
      <c r="M175" s="3">
        <v>640.4</v>
      </c>
      <c r="N175" s="3">
        <f>M175</f>
        <v>640.4</v>
      </c>
      <c r="O175" s="65"/>
      <c r="P175" s="4"/>
    </row>
    <row r="176" spans="1:16" ht="15.75">
      <c r="A176" s="60"/>
      <c r="B176" s="77"/>
      <c r="C176" s="60"/>
      <c r="D176" s="1" t="s">
        <v>15</v>
      </c>
      <c r="E176" s="2">
        <f t="shared" si="91"/>
        <v>6994.1</v>
      </c>
      <c r="F176" s="2">
        <f t="shared" si="92"/>
        <v>6994.1</v>
      </c>
      <c r="G176" s="3">
        <v>5930</v>
      </c>
      <c r="H176" s="3">
        <f>G176</f>
        <v>5930</v>
      </c>
      <c r="I176" s="3">
        <v>127.1</v>
      </c>
      <c r="J176" s="3">
        <v>127.1</v>
      </c>
      <c r="K176" s="3">
        <v>57.8</v>
      </c>
      <c r="L176" s="3">
        <v>57.8</v>
      </c>
      <c r="M176" s="3">
        <v>879.2</v>
      </c>
      <c r="N176" s="3">
        <f>M176</f>
        <v>879.2</v>
      </c>
      <c r="O176" s="65"/>
      <c r="P176" s="4"/>
    </row>
    <row r="177" spans="1:16" ht="15.75">
      <c r="A177" s="60"/>
      <c r="B177" s="77"/>
      <c r="C177" s="60"/>
      <c r="D177" s="1" t="s">
        <v>16</v>
      </c>
      <c r="E177" s="2">
        <f t="shared" si="91"/>
        <v>7883</v>
      </c>
      <c r="F177" s="2">
        <f t="shared" si="92"/>
        <v>7883</v>
      </c>
      <c r="G177" s="3">
        <f>H177</f>
        <v>7883</v>
      </c>
      <c r="H177" s="3">
        <f>3750.2+4132.8</f>
        <v>7883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f>M177</f>
        <v>0</v>
      </c>
      <c r="O177" s="65"/>
      <c r="P177" s="4"/>
    </row>
    <row r="178" spans="1:16" ht="15.75">
      <c r="A178" s="60"/>
      <c r="B178" s="77"/>
      <c r="C178" s="60"/>
      <c r="D178" s="1" t="s">
        <v>17</v>
      </c>
      <c r="E178" s="2">
        <f t="shared" si="91"/>
        <v>5000</v>
      </c>
      <c r="F178" s="2">
        <f t="shared" si="92"/>
        <v>5000</v>
      </c>
      <c r="G178" s="3">
        <v>5000</v>
      </c>
      <c r="H178" s="3">
        <v>5000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65"/>
      <c r="P178" s="4"/>
    </row>
    <row r="179" spans="1:16" ht="15.75">
      <c r="A179" s="60"/>
      <c r="B179" s="77"/>
      <c r="C179" s="60"/>
      <c r="D179" s="1" t="s">
        <v>99</v>
      </c>
      <c r="E179" s="2">
        <f t="shared" si="91"/>
        <v>5000</v>
      </c>
      <c r="F179" s="2">
        <f t="shared" si="92"/>
        <v>5000</v>
      </c>
      <c r="G179" s="3">
        <f>G178</f>
        <v>5000</v>
      </c>
      <c r="H179" s="3">
        <v>5000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65"/>
      <c r="P179" s="4"/>
    </row>
    <row r="180" spans="1:16" ht="15.75">
      <c r="A180" s="60"/>
      <c r="B180" s="77"/>
      <c r="C180" s="60"/>
      <c r="D180" s="1" t="s">
        <v>100</v>
      </c>
      <c r="E180" s="2">
        <f t="shared" si="91"/>
        <v>5000</v>
      </c>
      <c r="F180" s="2">
        <f t="shared" si="92"/>
        <v>0</v>
      </c>
      <c r="G180" s="3">
        <f>G179</f>
        <v>5000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65"/>
      <c r="P180" s="4"/>
    </row>
    <row r="181" spans="1:16" ht="15.75">
      <c r="A181" s="60"/>
      <c r="B181" s="77"/>
      <c r="C181" s="60"/>
      <c r="D181" s="1" t="s">
        <v>101</v>
      </c>
      <c r="E181" s="2">
        <f t="shared" si="91"/>
        <v>5000</v>
      </c>
      <c r="F181" s="2">
        <f t="shared" si="92"/>
        <v>0</v>
      </c>
      <c r="G181" s="3">
        <f>G180</f>
        <v>5000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65"/>
      <c r="P181" s="4"/>
    </row>
    <row r="182" spans="1:16" ht="15.75">
      <c r="A182" s="60"/>
      <c r="B182" s="77"/>
      <c r="C182" s="60"/>
      <c r="D182" s="1" t="s">
        <v>102</v>
      </c>
      <c r="E182" s="2">
        <f t="shared" si="91"/>
        <v>5000</v>
      </c>
      <c r="F182" s="2">
        <f t="shared" si="92"/>
        <v>0</v>
      </c>
      <c r="G182" s="3">
        <f>G181</f>
        <v>5000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65"/>
      <c r="P182" s="4"/>
    </row>
    <row r="183" spans="1:16" ht="15.75">
      <c r="A183" s="60"/>
      <c r="B183" s="77"/>
      <c r="C183" s="87"/>
      <c r="D183" s="1" t="s">
        <v>103</v>
      </c>
      <c r="E183" s="2">
        <f t="shared" si="91"/>
        <v>5000</v>
      </c>
      <c r="F183" s="2">
        <f t="shared" si="92"/>
        <v>0</v>
      </c>
      <c r="G183" s="3">
        <f>G182</f>
        <v>5000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65"/>
      <c r="P183" s="4"/>
    </row>
    <row r="184" spans="1:16" ht="15.75" customHeight="1">
      <c r="A184" s="60"/>
      <c r="B184" s="77" t="s">
        <v>63</v>
      </c>
      <c r="D184" s="1" t="s">
        <v>11</v>
      </c>
      <c r="E184" s="2">
        <f>SUM(E185:E195)</f>
        <v>2308.9</v>
      </c>
      <c r="F184" s="2">
        <f aca="true" t="shared" si="93" ref="F184:N184">SUM(F185:F195)</f>
        <v>968.9</v>
      </c>
      <c r="G184" s="2">
        <f t="shared" si="93"/>
        <v>1515.9</v>
      </c>
      <c r="H184" s="2">
        <f t="shared" si="93"/>
        <v>175.89999999999998</v>
      </c>
      <c r="I184" s="2">
        <f t="shared" si="93"/>
        <v>0</v>
      </c>
      <c r="J184" s="2">
        <f t="shared" si="93"/>
        <v>0</v>
      </c>
      <c r="K184" s="2">
        <f t="shared" si="93"/>
        <v>0</v>
      </c>
      <c r="L184" s="2">
        <f t="shared" si="93"/>
        <v>0</v>
      </c>
      <c r="M184" s="2">
        <f t="shared" si="93"/>
        <v>793</v>
      </c>
      <c r="N184" s="2">
        <f t="shared" si="93"/>
        <v>793</v>
      </c>
      <c r="O184" s="65"/>
      <c r="P184" s="4"/>
    </row>
    <row r="185" spans="1:16" s="28" customFormat="1" ht="43.5" customHeight="1">
      <c r="A185" s="60"/>
      <c r="B185" s="77"/>
      <c r="C185" s="1" t="s">
        <v>79</v>
      </c>
      <c r="D185" s="1" t="s">
        <v>12</v>
      </c>
      <c r="E185" s="2">
        <f aca="true" t="shared" si="94" ref="E185:F188">G185+I185+K185+M185</f>
        <v>620</v>
      </c>
      <c r="F185" s="2">
        <f t="shared" si="94"/>
        <v>180</v>
      </c>
      <c r="G185" s="3">
        <f>440+H185</f>
        <v>440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180</v>
      </c>
      <c r="N185" s="3">
        <f>M185</f>
        <v>180</v>
      </c>
      <c r="O185" s="65"/>
      <c r="P185" s="39"/>
    </row>
    <row r="186" spans="1:16" ht="15" customHeight="1">
      <c r="A186" s="60"/>
      <c r="B186" s="77"/>
      <c r="C186" s="59" t="s">
        <v>65</v>
      </c>
      <c r="D186" s="1" t="s">
        <v>13</v>
      </c>
      <c r="E186" s="2">
        <f t="shared" si="94"/>
        <v>256.9</v>
      </c>
      <c r="F186" s="2">
        <f t="shared" si="94"/>
        <v>256.9</v>
      </c>
      <c r="G186" s="3">
        <f>H186</f>
        <v>99.6</v>
      </c>
      <c r="H186" s="3">
        <v>99.6</v>
      </c>
      <c r="I186" s="3">
        <v>0</v>
      </c>
      <c r="J186" s="3">
        <v>0</v>
      </c>
      <c r="K186" s="3">
        <v>0</v>
      </c>
      <c r="L186" s="3">
        <v>0</v>
      </c>
      <c r="M186" s="3">
        <v>157.3</v>
      </c>
      <c r="N186" s="3">
        <f>M186</f>
        <v>157.3</v>
      </c>
      <c r="O186" s="65"/>
      <c r="P186" s="4"/>
    </row>
    <row r="187" spans="1:16" ht="15" customHeight="1">
      <c r="A187" s="60"/>
      <c r="B187" s="77"/>
      <c r="C187" s="60"/>
      <c r="D187" s="1" t="s">
        <v>14</v>
      </c>
      <c r="E187" s="2">
        <f t="shared" si="94"/>
        <v>287.5</v>
      </c>
      <c r="F187" s="2">
        <f t="shared" si="94"/>
        <v>287.5</v>
      </c>
      <c r="G187" s="3">
        <f>H187</f>
        <v>76.3</v>
      </c>
      <c r="H187" s="3">
        <v>76.3</v>
      </c>
      <c r="I187" s="3">
        <v>0</v>
      </c>
      <c r="J187" s="3">
        <v>0</v>
      </c>
      <c r="K187" s="3">
        <v>0</v>
      </c>
      <c r="L187" s="3">
        <v>0</v>
      </c>
      <c r="M187" s="3">
        <f>N187</f>
        <v>211.2</v>
      </c>
      <c r="N187" s="3">
        <v>211.2</v>
      </c>
      <c r="O187" s="65"/>
      <c r="P187" s="4"/>
    </row>
    <row r="188" spans="1:16" ht="15.75">
      <c r="A188" s="60"/>
      <c r="B188" s="77"/>
      <c r="C188" s="60"/>
      <c r="D188" s="1" t="s">
        <v>15</v>
      </c>
      <c r="E188" s="2">
        <f t="shared" si="94"/>
        <v>1144.5</v>
      </c>
      <c r="F188" s="2">
        <f t="shared" si="94"/>
        <v>244.5</v>
      </c>
      <c r="G188" s="3">
        <v>900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244.5</v>
      </c>
      <c r="N188" s="3">
        <v>244.5</v>
      </c>
      <c r="O188" s="65"/>
      <c r="P188" s="4"/>
    </row>
    <row r="189" spans="1:16" ht="15" customHeight="1">
      <c r="A189" s="60"/>
      <c r="B189" s="77"/>
      <c r="C189" s="45"/>
      <c r="D189" s="1" t="s">
        <v>16</v>
      </c>
      <c r="E189" s="61" t="s">
        <v>123</v>
      </c>
      <c r="F189" s="62"/>
      <c r="G189" s="62"/>
      <c r="H189" s="62"/>
      <c r="I189" s="62"/>
      <c r="J189" s="62"/>
      <c r="K189" s="62"/>
      <c r="L189" s="62"/>
      <c r="M189" s="62"/>
      <c r="N189" s="63"/>
      <c r="O189" s="65"/>
      <c r="P189" s="4"/>
    </row>
    <row r="190" spans="1:16" ht="15.75" hidden="1">
      <c r="A190" s="60"/>
      <c r="B190" s="77"/>
      <c r="C190" s="45"/>
      <c r="D190" s="1" t="s">
        <v>17</v>
      </c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65"/>
      <c r="P190" s="4"/>
    </row>
    <row r="191" spans="1:16" ht="15.75" hidden="1">
      <c r="A191" s="60"/>
      <c r="B191" s="77"/>
      <c r="C191" s="45"/>
      <c r="D191" s="1" t="s">
        <v>99</v>
      </c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65"/>
      <c r="P191" s="4"/>
    </row>
    <row r="192" spans="1:16" ht="15.75" hidden="1">
      <c r="A192" s="60"/>
      <c r="B192" s="77"/>
      <c r="C192" s="45"/>
      <c r="D192" s="1" t="s">
        <v>100</v>
      </c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65"/>
      <c r="P192" s="4"/>
    </row>
    <row r="193" spans="1:16" ht="15.75" hidden="1">
      <c r="A193" s="60"/>
      <c r="B193" s="77"/>
      <c r="C193" s="45"/>
      <c r="D193" s="1" t="s">
        <v>101</v>
      </c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65"/>
      <c r="P193" s="4"/>
    </row>
    <row r="194" spans="1:16" ht="15.75" hidden="1">
      <c r="A194" s="60"/>
      <c r="B194" s="77"/>
      <c r="C194" s="45"/>
      <c r="D194" s="1" t="s">
        <v>102</v>
      </c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65"/>
      <c r="P194" s="4"/>
    </row>
    <row r="195" spans="1:16" ht="15.75" hidden="1">
      <c r="A195" s="60"/>
      <c r="B195" s="77"/>
      <c r="C195" s="46"/>
      <c r="D195" s="1" t="s">
        <v>103</v>
      </c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65"/>
      <c r="P195" s="4"/>
    </row>
    <row r="196" spans="1:16" s="12" customFormat="1" ht="15.75">
      <c r="A196" s="60"/>
      <c r="B196" s="77" t="s">
        <v>115</v>
      </c>
      <c r="C196" s="59" t="s">
        <v>58</v>
      </c>
      <c r="D196" s="10" t="s">
        <v>11</v>
      </c>
      <c r="E196" s="2">
        <f aca="true" t="shared" si="95" ref="E196:N196">SUM(E197:E202)</f>
        <v>2350</v>
      </c>
      <c r="F196" s="2">
        <f t="shared" si="95"/>
        <v>100</v>
      </c>
      <c r="G196" s="2">
        <f t="shared" si="95"/>
        <v>2250</v>
      </c>
      <c r="H196" s="2">
        <f t="shared" si="95"/>
        <v>0</v>
      </c>
      <c r="I196" s="2">
        <f t="shared" si="95"/>
        <v>0</v>
      </c>
      <c r="J196" s="2">
        <f t="shared" si="95"/>
        <v>0</v>
      </c>
      <c r="K196" s="2">
        <f t="shared" si="95"/>
        <v>0</v>
      </c>
      <c r="L196" s="2">
        <f t="shared" si="95"/>
        <v>0</v>
      </c>
      <c r="M196" s="2">
        <f t="shared" si="95"/>
        <v>100</v>
      </c>
      <c r="N196" s="2">
        <f t="shared" si="95"/>
        <v>100</v>
      </c>
      <c r="O196" s="65"/>
      <c r="P196" s="4"/>
    </row>
    <row r="197" spans="1:16" s="28" customFormat="1" ht="54.75" customHeight="1">
      <c r="A197" s="60"/>
      <c r="B197" s="77"/>
      <c r="C197" s="60"/>
      <c r="D197" s="1" t="s">
        <v>12</v>
      </c>
      <c r="E197" s="2">
        <f>G197+I197+K197+M197</f>
        <v>2350</v>
      </c>
      <c r="F197" s="2">
        <f>H197+J197+L197+N197</f>
        <v>100</v>
      </c>
      <c r="G197" s="3">
        <v>2250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100</v>
      </c>
      <c r="N197" s="3">
        <f>M197</f>
        <v>100</v>
      </c>
      <c r="O197" s="65"/>
      <c r="P197" s="39"/>
    </row>
    <row r="198" spans="1:16" ht="36" customHeight="1">
      <c r="A198" s="60"/>
      <c r="B198" s="77"/>
      <c r="C198" s="87"/>
      <c r="D198" s="1" t="s">
        <v>13</v>
      </c>
      <c r="E198" s="61" t="s">
        <v>110</v>
      </c>
      <c r="F198" s="62"/>
      <c r="G198" s="62"/>
      <c r="H198" s="62"/>
      <c r="I198" s="62"/>
      <c r="J198" s="62"/>
      <c r="K198" s="62"/>
      <c r="L198" s="62"/>
      <c r="M198" s="62"/>
      <c r="N198" s="63"/>
      <c r="O198" s="65"/>
      <c r="P198" s="4"/>
    </row>
    <row r="199" spans="1:16" ht="15.75" hidden="1">
      <c r="A199" s="60"/>
      <c r="B199" s="77"/>
      <c r="C199" s="1"/>
      <c r="D199" s="1" t="s">
        <v>14</v>
      </c>
      <c r="E199" s="78"/>
      <c r="F199" s="79"/>
      <c r="G199" s="79"/>
      <c r="H199" s="79"/>
      <c r="I199" s="79"/>
      <c r="J199" s="79"/>
      <c r="K199" s="79"/>
      <c r="L199" s="79"/>
      <c r="M199" s="79"/>
      <c r="N199" s="80"/>
      <c r="O199" s="65"/>
      <c r="P199" s="4"/>
    </row>
    <row r="200" spans="1:16" ht="15.75" hidden="1">
      <c r="A200" s="60"/>
      <c r="B200" s="77"/>
      <c r="C200" s="1"/>
      <c r="D200" s="1" t="s">
        <v>15</v>
      </c>
      <c r="E200" s="78"/>
      <c r="F200" s="79"/>
      <c r="G200" s="79"/>
      <c r="H200" s="79"/>
      <c r="I200" s="79"/>
      <c r="J200" s="79"/>
      <c r="K200" s="79"/>
      <c r="L200" s="79"/>
      <c r="M200" s="79"/>
      <c r="N200" s="80"/>
      <c r="O200" s="65"/>
      <c r="P200" s="4"/>
    </row>
    <row r="201" spans="1:16" ht="15.75" hidden="1">
      <c r="A201" s="60"/>
      <c r="B201" s="77"/>
      <c r="C201" s="1"/>
      <c r="D201" s="1" t="s">
        <v>16</v>
      </c>
      <c r="E201" s="78"/>
      <c r="F201" s="79"/>
      <c r="G201" s="79"/>
      <c r="H201" s="79"/>
      <c r="I201" s="79"/>
      <c r="J201" s="79"/>
      <c r="K201" s="79"/>
      <c r="L201" s="79"/>
      <c r="M201" s="79"/>
      <c r="N201" s="80"/>
      <c r="O201" s="65"/>
      <c r="P201" s="4"/>
    </row>
    <row r="202" spans="1:16" ht="15.75" hidden="1">
      <c r="A202" s="60"/>
      <c r="B202" s="77"/>
      <c r="C202" s="1"/>
      <c r="D202" s="1" t="s">
        <v>17</v>
      </c>
      <c r="E202" s="81"/>
      <c r="F202" s="82"/>
      <c r="G202" s="82"/>
      <c r="H202" s="82"/>
      <c r="I202" s="82"/>
      <c r="J202" s="82"/>
      <c r="K202" s="82"/>
      <c r="L202" s="82"/>
      <c r="M202" s="82"/>
      <c r="N202" s="83"/>
      <c r="O202" s="65"/>
      <c r="P202" s="4"/>
    </row>
    <row r="203" spans="1:16" s="12" customFormat="1" ht="15.75">
      <c r="A203" s="60"/>
      <c r="B203" s="77" t="s">
        <v>116</v>
      </c>
      <c r="C203" s="59" t="s">
        <v>58</v>
      </c>
      <c r="D203" s="10" t="s">
        <v>11</v>
      </c>
      <c r="E203" s="2">
        <f>SUM(E204:E209)</f>
        <v>511.8</v>
      </c>
      <c r="F203" s="2">
        <f aca="true" t="shared" si="96" ref="F203:N203">SUM(F204:F209)</f>
        <v>141.4</v>
      </c>
      <c r="G203" s="2">
        <f t="shared" si="96"/>
        <v>220</v>
      </c>
      <c r="H203" s="2">
        <f t="shared" si="96"/>
        <v>29.6</v>
      </c>
      <c r="I203" s="2">
        <f t="shared" si="96"/>
        <v>0</v>
      </c>
      <c r="J203" s="2">
        <f t="shared" si="96"/>
        <v>0</v>
      </c>
      <c r="K203" s="2">
        <f t="shared" si="96"/>
        <v>180</v>
      </c>
      <c r="L203" s="2">
        <f t="shared" si="96"/>
        <v>0</v>
      </c>
      <c r="M203" s="2">
        <f t="shared" si="96"/>
        <v>111.8</v>
      </c>
      <c r="N203" s="2">
        <f t="shared" si="96"/>
        <v>111.8</v>
      </c>
      <c r="O203" s="65"/>
      <c r="P203" s="4"/>
    </row>
    <row r="204" spans="1:16" s="28" customFormat="1" ht="57" customHeight="1">
      <c r="A204" s="60"/>
      <c r="B204" s="77"/>
      <c r="C204" s="60"/>
      <c r="D204" s="1" t="s">
        <v>12</v>
      </c>
      <c r="E204" s="2">
        <f>G204+I204+K204+M204</f>
        <v>511.8</v>
      </c>
      <c r="F204" s="2">
        <f>H204+J204+L204+N204</f>
        <v>141.4</v>
      </c>
      <c r="G204" s="3">
        <v>220</v>
      </c>
      <c r="H204" s="3">
        <v>29.6</v>
      </c>
      <c r="I204" s="3">
        <v>0</v>
      </c>
      <c r="J204" s="3">
        <v>0</v>
      </c>
      <c r="K204" s="3">
        <v>180</v>
      </c>
      <c r="L204" s="3">
        <v>0</v>
      </c>
      <c r="M204" s="3">
        <v>111.8</v>
      </c>
      <c r="N204" s="3">
        <f>M204</f>
        <v>111.8</v>
      </c>
      <c r="O204" s="65"/>
      <c r="P204" s="39"/>
    </row>
    <row r="205" spans="1:16" ht="71.25" customHeight="1">
      <c r="A205" s="60"/>
      <c r="B205" s="77"/>
      <c r="C205" s="87"/>
      <c r="D205" s="1" t="s">
        <v>13</v>
      </c>
      <c r="E205" s="61" t="s">
        <v>110</v>
      </c>
      <c r="F205" s="62"/>
      <c r="G205" s="62"/>
      <c r="H205" s="62"/>
      <c r="I205" s="62"/>
      <c r="J205" s="62"/>
      <c r="K205" s="62"/>
      <c r="L205" s="62"/>
      <c r="M205" s="62"/>
      <c r="N205" s="63"/>
      <c r="O205" s="65"/>
      <c r="P205" s="4"/>
    </row>
    <row r="206" spans="1:16" ht="15.75" hidden="1">
      <c r="A206" s="60"/>
      <c r="B206" s="77"/>
      <c r="C206" s="1"/>
      <c r="D206" s="1" t="s">
        <v>14</v>
      </c>
      <c r="E206" s="78"/>
      <c r="F206" s="79"/>
      <c r="G206" s="79"/>
      <c r="H206" s="79"/>
      <c r="I206" s="79"/>
      <c r="J206" s="79"/>
      <c r="K206" s="79"/>
      <c r="L206" s="79"/>
      <c r="M206" s="79"/>
      <c r="N206" s="80"/>
      <c r="O206" s="65"/>
      <c r="P206" s="4"/>
    </row>
    <row r="207" spans="1:16" ht="15.75" hidden="1">
      <c r="A207" s="60"/>
      <c r="B207" s="77"/>
      <c r="C207" s="1"/>
      <c r="D207" s="1" t="s">
        <v>15</v>
      </c>
      <c r="E207" s="78"/>
      <c r="F207" s="79"/>
      <c r="G207" s="79"/>
      <c r="H207" s="79"/>
      <c r="I207" s="79"/>
      <c r="J207" s="79"/>
      <c r="K207" s="79"/>
      <c r="L207" s="79"/>
      <c r="M207" s="79"/>
      <c r="N207" s="80"/>
      <c r="O207" s="65"/>
      <c r="P207" s="4"/>
    </row>
    <row r="208" spans="1:16" ht="15.75" hidden="1">
      <c r="A208" s="60"/>
      <c r="B208" s="77"/>
      <c r="C208" s="1"/>
      <c r="D208" s="1" t="s">
        <v>16</v>
      </c>
      <c r="E208" s="78"/>
      <c r="F208" s="79"/>
      <c r="G208" s="79"/>
      <c r="H208" s="79"/>
      <c r="I208" s="79"/>
      <c r="J208" s="79"/>
      <c r="K208" s="79"/>
      <c r="L208" s="79"/>
      <c r="M208" s="79"/>
      <c r="N208" s="80"/>
      <c r="O208" s="65"/>
      <c r="P208" s="4"/>
    </row>
    <row r="209" spans="1:16" ht="15.75" hidden="1">
      <c r="A209" s="60"/>
      <c r="B209" s="77"/>
      <c r="C209" s="1"/>
      <c r="D209" s="1" t="s">
        <v>17</v>
      </c>
      <c r="E209" s="81"/>
      <c r="F209" s="82"/>
      <c r="G209" s="82"/>
      <c r="H209" s="82"/>
      <c r="I209" s="82"/>
      <c r="J209" s="82"/>
      <c r="K209" s="82"/>
      <c r="L209" s="82"/>
      <c r="M209" s="82"/>
      <c r="N209" s="83"/>
      <c r="O209" s="65"/>
      <c r="P209" s="4"/>
    </row>
    <row r="210" spans="1:16" s="12" customFormat="1" ht="15.75">
      <c r="A210" s="60"/>
      <c r="B210" s="77" t="s">
        <v>117</v>
      </c>
      <c r="C210" s="59" t="s">
        <v>58</v>
      </c>
      <c r="D210" s="10" t="s">
        <v>11</v>
      </c>
      <c r="E210" s="2">
        <f>SUM(E211:E216)</f>
        <v>1300</v>
      </c>
      <c r="F210" s="2">
        <f aca="true" t="shared" si="97" ref="F210:N210">SUM(F211:F216)</f>
        <v>600</v>
      </c>
      <c r="G210" s="2">
        <f t="shared" si="97"/>
        <v>500</v>
      </c>
      <c r="H210" s="2">
        <f t="shared" si="97"/>
        <v>0</v>
      </c>
      <c r="I210" s="2">
        <f t="shared" si="97"/>
        <v>0</v>
      </c>
      <c r="J210" s="2">
        <f t="shared" si="97"/>
        <v>0</v>
      </c>
      <c r="K210" s="2">
        <f t="shared" si="97"/>
        <v>200</v>
      </c>
      <c r="L210" s="2">
        <f t="shared" si="97"/>
        <v>0</v>
      </c>
      <c r="M210" s="2">
        <f>SUM(M211:M216)</f>
        <v>600</v>
      </c>
      <c r="N210" s="2">
        <f t="shared" si="97"/>
        <v>600</v>
      </c>
      <c r="O210" s="65"/>
      <c r="P210" s="4"/>
    </row>
    <row r="211" spans="1:16" s="28" customFormat="1" ht="48" customHeight="1">
      <c r="A211" s="60"/>
      <c r="B211" s="77"/>
      <c r="C211" s="60"/>
      <c r="D211" s="1" t="s">
        <v>12</v>
      </c>
      <c r="E211" s="2">
        <f>G211+I211+K211+M211</f>
        <v>1300</v>
      </c>
      <c r="F211" s="2">
        <f>H211+J211+L211+N211</f>
        <v>600</v>
      </c>
      <c r="G211" s="3">
        <f>500+H211</f>
        <v>500</v>
      </c>
      <c r="H211" s="3">
        <v>0</v>
      </c>
      <c r="I211" s="3">
        <v>0</v>
      </c>
      <c r="J211" s="3">
        <v>0</v>
      </c>
      <c r="K211" s="3">
        <v>200</v>
      </c>
      <c r="L211" s="3">
        <v>0</v>
      </c>
      <c r="M211" s="3">
        <v>600</v>
      </c>
      <c r="N211" s="3">
        <f>M211</f>
        <v>600</v>
      </c>
      <c r="O211" s="65"/>
      <c r="P211" s="39"/>
    </row>
    <row r="212" spans="1:16" ht="93" customHeight="1">
      <c r="A212" s="60"/>
      <c r="B212" s="77"/>
      <c r="C212" s="87"/>
      <c r="D212" s="1" t="s">
        <v>13</v>
      </c>
      <c r="E212" s="61" t="s">
        <v>110</v>
      </c>
      <c r="F212" s="62"/>
      <c r="G212" s="62"/>
      <c r="H212" s="62"/>
      <c r="I212" s="62"/>
      <c r="J212" s="62"/>
      <c r="K212" s="62"/>
      <c r="L212" s="62"/>
      <c r="M212" s="62"/>
      <c r="N212" s="63"/>
      <c r="O212" s="65"/>
      <c r="P212" s="4"/>
    </row>
    <row r="213" spans="1:16" ht="15.75" hidden="1">
      <c r="A213" s="60"/>
      <c r="B213" s="77"/>
      <c r="C213" s="1"/>
      <c r="D213" s="1" t="s">
        <v>14</v>
      </c>
      <c r="E213" s="78"/>
      <c r="F213" s="79"/>
      <c r="G213" s="79"/>
      <c r="H213" s="79"/>
      <c r="I213" s="79"/>
      <c r="J213" s="79"/>
      <c r="K213" s="79"/>
      <c r="L213" s="79"/>
      <c r="M213" s="79"/>
      <c r="N213" s="80"/>
      <c r="O213" s="65"/>
      <c r="P213" s="4"/>
    </row>
    <row r="214" spans="1:16" ht="15.75" hidden="1">
      <c r="A214" s="60"/>
      <c r="B214" s="77"/>
      <c r="C214" s="1"/>
      <c r="D214" s="1" t="s">
        <v>15</v>
      </c>
      <c r="E214" s="78"/>
      <c r="F214" s="79"/>
      <c r="G214" s="79"/>
      <c r="H214" s="79"/>
      <c r="I214" s="79"/>
      <c r="J214" s="79"/>
      <c r="K214" s="79"/>
      <c r="L214" s="79"/>
      <c r="M214" s="79"/>
      <c r="N214" s="80"/>
      <c r="O214" s="65"/>
      <c r="P214" s="4"/>
    </row>
    <row r="215" spans="1:16" ht="15.75" hidden="1">
      <c r="A215" s="60"/>
      <c r="B215" s="77"/>
      <c r="C215" s="1"/>
      <c r="D215" s="1" t="s">
        <v>16</v>
      </c>
      <c r="E215" s="78"/>
      <c r="F215" s="79"/>
      <c r="G215" s="79"/>
      <c r="H215" s="79"/>
      <c r="I215" s="79"/>
      <c r="J215" s="79"/>
      <c r="K215" s="79"/>
      <c r="L215" s="79"/>
      <c r="M215" s="79"/>
      <c r="N215" s="80"/>
      <c r="O215" s="65"/>
      <c r="P215" s="4"/>
    </row>
    <row r="216" spans="1:16" ht="15.75" hidden="1">
      <c r="A216" s="60"/>
      <c r="B216" s="77"/>
      <c r="C216" s="1"/>
      <c r="D216" s="1" t="s">
        <v>17</v>
      </c>
      <c r="E216" s="81"/>
      <c r="F216" s="82"/>
      <c r="G216" s="82"/>
      <c r="H216" s="82"/>
      <c r="I216" s="82"/>
      <c r="J216" s="82"/>
      <c r="K216" s="82"/>
      <c r="L216" s="82"/>
      <c r="M216" s="82"/>
      <c r="N216" s="83"/>
      <c r="O216" s="65"/>
      <c r="P216" s="4"/>
    </row>
    <row r="217" spans="1:16" ht="15.75" hidden="1">
      <c r="A217" s="60"/>
      <c r="B217" s="77" t="s">
        <v>26</v>
      </c>
      <c r="C217" s="1"/>
      <c r="D217" s="1" t="s">
        <v>11</v>
      </c>
      <c r="E217" s="2">
        <f>SUM(E218:E223)</f>
        <v>0</v>
      </c>
      <c r="F217" s="2">
        <f aca="true" t="shared" si="98" ref="F217:N217">SUM(F218:F223)</f>
        <v>0</v>
      </c>
      <c r="G217" s="3">
        <f t="shared" si="98"/>
        <v>0</v>
      </c>
      <c r="H217" s="3">
        <f t="shared" si="98"/>
        <v>0</v>
      </c>
      <c r="I217" s="3">
        <f t="shared" si="98"/>
        <v>0</v>
      </c>
      <c r="J217" s="3">
        <f t="shared" si="98"/>
        <v>0</v>
      </c>
      <c r="K217" s="3">
        <f t="shared" si="98"/>
        <v>0</v>
      </c>
      <c r="L217" s="3">
        <f t="shared" si="98"/>
        <v>0</v>
      </c>
      <c r="M217" s="3">
        <f t="shared" si="98"/>
        <v>0</v>
      </c>
      <c r="N217" s="3">
        <f t="shared" si="98"/>
        <v>0</v>
      </c>
      <c r="O217" s="65"/>
      <c r="P217" s="4"/>
    </row>
    <row r="218" spans="1:16" s="37" customFormat="1" ht="15.75" hidden="1">
      <c r="A218" s="60"/>
      <c r="B218" s="77"/>
      <c r="C218" s="1"/>
      <c r="D218" s="1" t="s">
        <v>12</v>
      </c>
      <c r="E218" s="2">
        <f aca="true" t="shared" si="99" ref="E218:F223">G218+I218+K218+M218</f>
        <v>0</v>
      </c>
      <c r="F218" s="2">
        <f t="shared" si="99"/>
        <v>0</v>
      </c>
      <c r="G218" s="3"/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f aca="true" t="shared" si="100" ref="M218:M223">N218</f>
        <v>0</v>
      </c>
      <c r="N218" s="3">
        <v>0</v>
      </c>
      <c r="O218" s="65"/>
      <c r="P218" s="39"/>
    </row>
    <row r="219" spans="1:16" s="40" customFormat="1" ht="15.75" hidden="1">
      <c r="A219" s="60"/>
      <c r="B219" s="77"/>
      <c r="C219" s="1"/>
      <c r="D219" s="1" t="s">
        <v>13</v>
      </c>
      <c r="E219" s="2">
        <f t="shared" si="99"/>
        <v>0</v>
      </c>
      <c r="F219" s="2">
        <f t="shared" si="99"/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f t="shared" si="100"/>
        <v>0</v>
      </c>
      <c r="N219" s="3">
        <v>0</v>
      </c>
      <c r="O219" s="65"/>
      <c r="P219" s="4"/>
    </row>
    <row r="220" spans="1:16" s="40" customFormat="1" ht="15.75" hidden="1">
      <c r="A220" s="60"/>
      <c r="B220" s="77"/>
      <c r="C220" s="1"/>
      <c r="D220" s="1" t="s">
        <v>14</v>
      </c>
      <c r="E220" s="2">
        <f t="shared" si="99"/>
        <v>0</v>
      </c>
      <c r="F220" s="2">
        <f t="shared" si="99"/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f t="shared" si="100"/>
        <v>0</v>
      </c>
      <c r="N220" s="3">
        <v>0</v>
      </c>
      <c r="O220" s="65"/>
      <c r="P220" s="4"/>
    </row>
    <row r="221" spans="1:16" s="40" customFormat="1" ht="15.75" hidden="1">
      <c r="A221" s="60"/>
      <c r="B221" s="77"/>
      <c r="C221" s="1"/>
      <c r="D221" s="1" t="s">
        <v>15</v>
      </c>
      <c r="E221" s="2">
        <f t="shared" si="99"/>
        <v>0</v>
      </c>
      <c r="F221" s="2">
        <f t="shared" si="99"/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f t="shared" si="100"/>
        <v>0</v>
      </c>
      <c r="N221" s="3">
        <v>0</v>
      </c>
      <c r="O221" s="65"/>
      <c r="P221" s="4"/>
    </row>
    <row r="222" spans="1:16" s="40" customFormat="1" ht="15.75" hidden="1">
      <c r="A222" s="60"/>
      <c r="B222" s="77"/>
      <c r="C222" s="1"/>
      <c r="D222" s="1" t="s">
        <v>16</v>
      </c>
      <c r="E222" s="2">
        <f t="shared" si="99"/>
        <v>0</v>
      </c>
      <c r="F222" s="2">
        <f t="shared" si="99"/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f t="shared" si="100"/>
        <v>0</v>
      </c>
      <c r="N222" s="3">
        <v>0</v>
      </c>
      <c r="O222" s="65"/>
      <c r="P222" s="4"/>
    </row>
    <row r="223" spans="1:16" s="40" customFormat="1" ht="15.75" hidden="1">
      <c r="A223" s="60"/>
      <c r="B223" s="77"/>
      <c r="C223" s="1"/>
      <c r="D223" s="1" t="s">
        <v>17</v>
      </c>
      <c r="E223" s="2">
        <f t="shared" si="99"/>
        <v>0</v>
      </c>
      <c r="F223" s="2">
        <f t="shared" si="99"/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f t="shared" si="100"/>
        <v>0</v>
      </c>
      <c r="N223" s="3">
        <v>0</v>
      </c>
      <c r="O223" s="65"/>
      <c r="P223" s="4"/>
    </row>
    <row r="224" spans="1:16" s="41" customFormat="1" ht="15.75">
      <c r="A224" s="60"/>
      <c r="B224" s="86" t="s">
        <v>36</v>
      </c>
      <c r="C224" s="21"/>
      <c r="D224" s="10" t="s">
        <v>11</v>
      </c>
      <c r="E224" s="2">
        <f>SUM(E225:E235)</f>
        <v>2309</v>
      </c>
      <c r="F224" s="2">
        <f aca="true" t="shared" si="101" ref="F224:N224">SUM(F225:F235)</f>
        <v>1779</v>
      </c>
      <c r="G224" s="2">
        <f t="shared" si="101"/>
        <v>2220</v>
      </c>
      <c r="H224" s="2">
        <f t="shared" si="101"/>
        <v>1690</v>
      </c>
      <c r="I224" s="2">
        <f t="shared" si="101"/>
        <v>0</v>
      </c>
      <c r="J224" s="2">
        <f t="shared" si="101"/>
        <v>0</v>
      </c>
      <c r="K224" s="2">
        <f t="shared" si="101"/>
        <v>0</v>
      </c>
      <c r="L224" s="2">
        <f t="shared" si="101"/>
        <v>0</v>
      </c>
      <c r="M224" s="2">
        <f t="shared" si="101"/>
        <v>89</v>
      </c>
      <c r="N224" s="2">
        <f t="shared" si="101"/>
        <v>89</v>
      </c>
      <c r="O224" s="65"/>
      <c r="P224" s="4"/>
    </row>
    <row r="225" spans="1:16" s="28" customFormat="1" ht="38.25">
      <c r="A225" s="60"/>
      <c r="B225" s="86"/>
      <c r="C225" s="1" t="s">
        <v>80</v>
      </c>
      <c r="D225" s="1" t="s">
        <v>12</v>
      </c>
      <c r="E225" s="2">
        <f aca="true" t="shared" si="102" ref="E225:F229">G225+I225+K225+M225</f>
        <v>195</v>
      </c>
      <c r="F225" s="2">
        <f t="shared" si="102"/>
        <v>89</v>
      </c>
      <c r="G225" s="3">
        <v>106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89</v>
      </c>
      <c r="N225" s="3">
        <f>M225</f>
        <v>89</v>
      </c>
      <c r="O225" s="65"/>
      <c r="P225" s="39"/>
    </row>
    <row r="226" spans="1:16" ht="15" customHeight="1">
      <c r="A226" s="60"/>
      <c r="B226" s="86"/>
      <c r="C226" s="59" t="s">
        <v>59</v>
      </c>
      <c r="D226" s="1" t="s">
        <v>13</v>
      </c>
      <c r="E226" s="2">
        <f t="shared" si="102"/>
        <v>1160</v>
      </c>
      <c r="F226" s="2">
        <f t="shared" si="102"/>
        <v>1160</v>
      </c>
      <c r="G226" s="3">
        <f>H226</f>
        <v>1160</v>
      </c>
      <c r="H226" s="3">
        <f>666+560-66</f>
        <v>1160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65"/>
      <c r="P226" s="4"/>
    </row>
    <row r="227" spans="1:16" ht="15" customHeight="1">
      <c r="A227" s="60"/>
      <c r="B227" s="86"/>
      <c r="C227" s="60"/>
      <c r="D227" s="1" t="s">
        <v>14</v>
      </c>
      <c r="E227" s="2">
        <f t="shared" si="102"/>
        <v>106</v>
      </c>
      <c r="F227" s="2">
        <f t="shared" si="102"/>
        <v>106</v>
      </c>
      <c r="G227" s="3">
        <f>H227</f>
        <v>106</v>
      </c>
      <c r="H227" s="3">
        <v>106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65"/>
      <c r="P227" s="4"/>
    </row>
    <row r="228" spans="1:16" ht="15.75">
      <c r="A228" s="60"/>
      <c r="B228" s="86"/>
      <c r="C228" s="60"/>
      <c r="D228" s="1" t="s">
        <v>15</v>
      </c>
      <c r="E228" s="2">
        <f t="shared" si="102"/>
        <v>106</v>
      </c>
      <c r="F228" s="2">
        <f t="shared" si="102"/>
        <v>0</v>
      </c>
      <c r="G228" s="3">
        <v>106</v>
      </c>
      <c r="H228" s="3">
        <f>106-106</f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65"/>
      <c r="P228" s="4"/>
    </row>
    <row r="229" spans="1:16" ht="15.75">
      <c r="A229" s="60"/>
      <c r="B229" s="86"/>
      <c r="C229" s="60"/>
      <c r="D229" s="1" t="s">
        <v>16</v>
      </c>
      <c r="E229" s="2">
        <f t="shared" si="102"/>
        <v>106</v>
      </c>
      <c r="F229" s="2">
        <f t="shared" si="102"/>
        <v>106</v>
      </c>
      <c r="G229" s="3">
        <v>106</v>
      </c>
      <c r="H229" s="3">
        <v>106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65"/>
      <c r="P229" s="4"/>
    </row>
    <row r="230" spans="1:16" ht="15.75">
      <c r="A230" s="60"/>
      <c r="B230" s="86"/>
      <c r="C230" s="60"/>
      <c r="D230" s="1" t="s">
        <v>17</v>
      </c>
      <c r="E230" s="2">
        <f aca="true" t="shared" si="103" ref="E230:F235">G230+I230+K230+M230</f>
        <v>106</v>
      </c>
      <c r="F230" s="2">
        <f t="shared" si="103"/>
        <v>106</v>
      </c>
      <c r="G230" s="3">
        <v>106</v>
      </c>
      <c r="H230" s="3">
        <v>106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65"/>
      <c r="P230" s="4"/>
    </row>
    <row r="231" spans="1:16" ht="15.75">
      <c r="A231" s="60"/>
      <c r="B231" s="86"/>
      <c r="C231" s="60"/>
      <c r="D231" s="1" t="s">
        <v>99</v>
      </c>
      <c r="E231" s="2">
        <f t="shared" si="103"/>
        <v>106</v>
      </c>
      <c r="F231" s="2">
        <f t="shared" si="103"/>
        <v>106</v>
      </c>
      <c r="G231" s="3">
        <f>G230</f>
        <v>106</v>
      </c>
      <c r="H231" s="3">
        <f>H230</f>
        <v>106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65"/>
      <c r="P231" s="4"/>
    </row>
    <row r="232" spans="1:16" ht="15.75">
      <c r="A232" s="60"/>
      <c r="B232" s="86"/>
      <c r="C232" s="60"/>
      <c r="D232" s="1" t="s">
        <v>100</v>
      </c>
      <c r="E232" s="2">
        <f t="shared" si="103"/>
        <v>106</v>
      </c>
      <c r="F232" s="2">
        <f t="shared" si="103"/>
        <v>106</v>
      </c>
      <c r="G232" s="3">
        <f>G231</f>
        <v>106</v>
      </c>
      <c r="H232" s="3">
        <v>106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65"/>
      <c r="P232" s="4"/>
    </row>
    <row r="233" spans="1:16" ht="15.75">
      <c r="A233" s="60"/>
      <c r="B233" s="86"/>
      <c r="C233" s="60"/>
      <c r="D233" s="1" t="s">
        <v>101</v>
      </c>
      <c r="E233" s="2">
        <f t="shared" si="103"/>
        <v>106</v>
      </c>
      <c r="F233" s="2">
        <f t="shared" si="103"/>
        <v>0</v>
      </c>
      <c r="G233" s="3">
        <f>G232</f>
        <v>106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65"/>
      <c r="P233" s="4"/>
    </row>
    <row r="234" spans="1:16" ht="15.75">
      <c r="A234" s="60"/>
      <c r="B234" s="86"/>
      <c r="C234" s="60"/>
      <c r="D234" s="1" t="s">
        <v>102</v>
      </c>
      <c r="E234" s="2">
        <f t="shared" si="103"/>
        <v>106</v>
      </c>
      <c r="F234" s="2">
        <f t="shared" si="103"/>
        <v>0</v>
      </c>
      <c r="G234" s="3">
        <f>G233</f>
        <v>106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65"/>
      <c r="P234" s="4"/>
    </row>
    <row r="235" spans="1:16" ht="15.75">
      <c r="A235" s="87"/>
      <c r="B235" s="86"/>
      <c r="C235" s="87"/>
      <c r="D235" s="1" t="s">
        <v>103</v>
      </c>
      <c r="E235" s="2">
        <f t="shared" si="103"/>
        <v>106</v>
      </c>
      <c r="F235" s="2">
        <f t="shared" si="103"/>
        <v>0</v>
      </c>
      <c r="G235" s="3">
        <f>G234</f>
        <v>106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66"/>
      <c r="P235" s="4"/>
    </row>
    <row r="236" spans="1:16" ht="15" customHeight="1">
      <c r="A236" s="71" t="s">
        <v>19</v>
      </c>
      <c r="B236" s="14" t="s">
        <v>46</v>
      </c>
      <c r="C236" s="10"/>
      <c r="D236" s="10" t="s">
        <v>11</v>
      </c>
      <c r="E236" s="2">
        <f>SUM(E237:E247)</f>
        <v>1710871.1030000001</v>
      </c>
      <c r="F236" s="2">
        <f aca="true" t="shared" si="104" ref="F236:N236">SUM(F237:F247)</f>
        <v>973202.7729999999</v>
      </c>
      <c r="G236" s="2">
        <f>SUM(G237:G247)</f>
        <v>1067588.67</v>
      </c>
      <c r="H236" s="2">
        <f t="shared" si="104"/>
        <v>708323.94</v>
      </c>
      <c r="I236" s="2">
        <f t="shared" si="104"/>
        <v>938.5</v>
      </c>
      <c r="J236" s="2">
        <f t="shared" si="104"/>
        <v>518.5</v>
      </c>
      <c r="K236" s="2">
        <f t="shared" si="104"/>
        <v>440477.93299999996</v>
      </c>
      <c r="L236" s="2">
        <f>SUM(L237:L247)</f>
        <v>118873.53299999998</v>
      </c>
      <c r="M236" s="2">
        <f t="shared" si="104"/>
        <v>201865.99999999994</v>
      </c>
      <c r="N236" s="2">
        <f t="shared" si="104"/>
        <v>145486.8</v>
      </c>
      <c r="O236" s="102" t="s">
        <v>88</v>
      </c>
      <c r="P236" s="4"/>
    </row>
    <row r="237" spans="1:16" s="12" customFormat="1" ht="35.25" customHeight="1">
      <c r="A237" s="72"/>
      <c r="B237" s="92" t="s">
        <v>107</v>
      </c>
      <c r="C237" s="10" t="s">
        <v>68</v>
      </c>
      <c r="D237" s="10" t="s">
        <v>12</v>
      </c>
      <c r="E237" s="2">
        <f aca="true" t="shared" si="105" ref="E237:F241">G237+I237+K237+M237</f>
        <v>129321.4</v>
      </c>
      <c r="F237" s="2">
        <f t="shared" si="105"/>
        <v>115482.7</v>
      </c>
      <c r="G237" s="2">
        <f aca="true" t="shared" si="106" ref="G237:L237">G249+G261+G273+G280+G287+G294+G301++G308+G315+G322+G329</f>
        <v>90603.7</v>
      </c>
      <c r="H237" s="2">
        <f t="shared" si="106"/>
        <v>77665</v>
      </c>
      <c r="I237" s="2">
        <f t="shared" si="106"/>
        <v>200</v>
      </c>
      <c r="J237" s="2">
        <f t="shared" si="106"/>
        <v>0</v>
      </c>
      <c r="K237" s="2">
        <f t="shared" si="106"/>
        <v>18264.5</v>
      </c>
      <c r="L237" s="2">
        <f t="shared" si="106"/>
        <v>17564.5</v>
      </c>
      <c r="M237" s="2">
        <f>M249+M261+M273+M280+M287+M294+M301+M308+M315+M322+M329</f>
        <v>20253.199999999997</v>
      </c>
      <c r="N237" s="2">
        <f>N249+N261+N273+N280+N287+N294+N301++N308+N315+N322+N329</f>
        <v>20253.199999999997</v>
      </c>
      <c r="O237" s="102"/>
      <c r="P237" s="4"/>
    </row>
    <row r="238" spans="1:16" s="12" customFormat="1" ht="15.75" customHeight="1">
      <c r="A238" s="72"/>
      <c r="B238" s="92"/>
      <c r="C238" s="71" t="s">
        <v>81</v>
      </c>
      <c r="D238" s="10" t="s">
        <v>13</v>
      </c>
      <c r="E238" s="2">
        <f t="shared" si="105"/>
        <v>128655.36999999998</v>
      </c>
      <c r="F238" s="2">
        <f t="shared" si="105"/>
        <v>122789.84</v>
      </c>
      <c r="G238" s="2">
        <f>G250+G262+G330</f>
        <v>85805.56999999998</v>
      </c>
      <c r="H238" s="2">
        <f>H250+H262+H330</f>
        <v>80980.04</v>
      </c>
      <c r="I238" s="2">
        <f aca="true" t="shared" si="107" ref="I238:L239">I250+I262+I274+I281+I288+I295+I302++I309+I316+I323+I330</f>
        <v>220</v>
      </c>
      <c r="J238" s="2">
        <f t="shared" si="107"/>
        <v>0</v>
      </c>
      <c r="K238" s="2">
        <f t="shared" si="107"/>
        <v>17618</v>
      </c>
      <c r="L238" s="2">
        <f t="shared" si="107"/>
        <v>16798</v>
      </c>
      <c r="M238" s="2">
        <f>M250+M262+M274+M281+M288+M295+M302+M309+M316+M323+M330</f>
        <v>25011.8</v>
      </c>
      <c r="N238" s="2">
        <f>N250+N262+N274+N281+N288+N295+N302++N309+N316+N323+N330</f>
        <v>25011.8</v>
      </c>
      <c r="O238" s="102"/>
      <c r="P238" s="4"/>
    </row>
    <row r="239" spans="1:24" s="12" customFormat="1" ht="15" customHeight="1">
      <c r="A239" s="72"/>
      <c r="B239" s="92"/>
      <c r="C239" s="72"/>
      <c r="D239" s="10" t="s">
        <v>14</v>
      </c>
      <c r="E239" s="2">
        <f t="shared" si="105"/>
        <v>151718.633</v>
      </c>
      <c r="F239" s="2">
        <f t="shared" si="105"/>
        <v>150033.633</v>
      </c>
      <c r="G239" s="2">
        <f>G251+G263+G275+G282+G289+G296+G303++G310+G317+G324+G331</f>
        <v>90037.8</v>
      </c>
      <c r="H239" s="2">
        <f>H251+H263+H275+H282+H289+H296+H303++H310+H317+H324+H331</f>
        <v>88352.8</v>
      </c>
      <c r="I239" s="2">
        <f t="shared" si="107"/>
        <v>0</v>
      </c>
      <c r="J239" s="2">
        <f t="shared" si="107"/>
        <v>0</v>
      </c>
      <c r="K239" s="2">
        <f t="shared" si="107"/>
        <v>31832.333</v>
      </c>
      <c r="L239" s="2">
        <f t="shared" si="107"/>
        <v>31832.333</v>
      </c>
      <c r="M239" s="2">
        <f>M251+M263+M275+M282+M289+M296+M303+M310+M317+M324+M331</f>
        <v>29848.5</v>
      </c>
      <c r="N239" s="2">
        <f>N251+N263+N275+N282+N289+N296+N303++N310+N317+N324+N331</f>
        <v>29848.5</v>
      </c>
      <c r="O239" s="102"/>
      <c r="P239" s="4"/>
      <c r="X239" s="35"/>
    </row>
    <row r="240" spans="1:16" s="12" customFormat="1" ht="15.75">
      <c r="A240" s="72"/>
      <c r="B240" s="92"/>
      <c r="C240" s="72"/>
      <c r="D240" s="10" t="s">
        <v>15</v>
      </c>
      <c r="E240" s="2">
        <f>G240+I240+K240+M240</f>
        <v>174847.6</v>
      </c>
      <c r="F240" s="2">
        <f t="shared" si="105"/>
        <v>168847.7</v>
      </c>
      <c r="G240" s="2">
        <f>G252+G264+G276+G283+G290+G297+G304++G311+G318+G325+G332+G344+G356+G368+G380</f>
        <v>100329.60000000002</v>
      </c>
      <c r="H240" s="2">
        <f aca="true" t="shared" si="108" ref="H240:N240">H252+H264+H276+H283+H290+H297+H304++H311+H318+H325+H332+H344+H356+H368+H380</f>
        <v>94329.70000000001</v>
      </c>
      <c r="I240" s="2">
        <f t="shared" si="108"/>
        <v>518.5</v>
      </c>
      <c r="J240" s="2">
        <f t="shared" si="108"/>
        <v>518.5</v>
      </c>
      <c r="K240" s="2">
        <f t="shared" si="108"/>
        <v>46076.6</v>
      </c>
      <c r="L240" s="2">
        <f t="shared" si="108"/>
        <v>46076.6</v>
      </c>
      <c r="M240" s="2">
        <f t="shared" si="108"/>
        <v>27922.9</v>
      </c>
      <c r="N240" s="2">
        <f t="shared" si="108"/>
        <v>27922.9</v>
      </c>
      <c r="O240" s="102"/>
      <c r="P240" s="4"/>
    </row>
    <row r="241" spans="1:16" s="12" customFormat="1" ht="15.75">
      <c r="A241" s="72"/>
      <c r="B241" s="92"/>
      <c r="C241" s="72"/>
      <c r="D241" s="10" t="s">
        <v>16</v>
      </c>
      <c r="E241" s="2">
        <f t="shared" si="105"/>
        <v>161046.3</v>
      </c>
      <c r="F241" s="2">
        <f t="shared" si="105"/>
        <v>115345.3</v>
      </c>
      <c r="G241" s="2">
        <f aca="true" t="shared" si="109" ref="G241:N241">G253+G265+G277+G284+G291+G298+G305++G312+G319+G326+G333+G345+G357+G369+G381</f>
        <v>100116</v>
      </c>
      <c r="H241" s="2">
        <f t="shared" si="109"/>
        <v>98883.8</v>
      </c>
      <c r="I241" s="2">
        <f t="shared" si="109"/>
        <v>0</v>
      </c>
      <c r="J241" s="2">
        <f t="shared" si="109"/>
        <v>0</v>
      </c>
      <c r="K241" s="2">
        <f t="shared" si="109"/>
        <v>46669.5</v>
      </c>
      <c r="L241" s="2">
        <f t="shared" si="109"/>
        <v>2200.7</v>
      </c>
      <c r="M241" s="2">
        <f t="shared" si="109"/>
        <v>14260.8</v>
      </c>
      <c r="N241" s="2">
        <f t="shared" si="109"/>
        <v>14260.8</v>
      </c>
      <c r="O241" s="102"/>
      <c r="P241" s="4"/>
    </row>
    <row r="242" spans="1:16" s="12" customFormat="1" ht="15.75">
      <c r="A242" s="72"/>
      <c r="B242" s="92"/>
      <c r="C242" s="72"/>
      <c r="D242" s="10" t="s">
        <v>17</v>
      </c>
      <c r="E242" s="2">
        <f aca="true" t="shared" si="110" ref="E242:F247">G242+I242+K242+M242</f>
        <v>160880.3</v>
      </c>
      <c r="F242" s="2">
        <f t="shared" si="110"/>
        <v>114403</v>
      </c>
      <c r="G242" s="2">
        <f aca="true" t="shared" si="111" ref="G242:N242">G254+G266+G278+G285+G292+G299+G306++G313+G320+G327+G334+G346+G358+G370+G382</f>
        <v>100116</v>
      </c>
      <c r="H242" s="2">
        <f t="shared" si="111"/>
        <v>98107.5</v>
      </c>
      <c r="I242" s="2">
        <f t="shared" si="111"/>
        <v>0</v>
      </c>
      <c r="J242" s="2">
        <f t="shared" si="111"/>
        <v>0</v>
      </c>
      <c r="K242" s="2">
        <f t="shared" si="111"/>
        <v>46669.5</v>
      </c>
      <c r="L242" s="2">
        <f t="shared" si="111"/>
        <v>2200.7</v>
      </c>
      <c r="M242" s="2">
        <f t="shared" si="111"/>
        <v>14094.8</v>
      </c>
      <c r="N242" s="2">
        <f t="shared" si="111"/>
        <v>14094.8</v>
      </c>
      <c r="O242" s="102"/>
      <c r="P242" s="4"/>
    </row>
    <row r="243" spans="1:16" s="12" customFormat="1" ht="15.75">
      <c r="A243" s="72"/>
      <c r="B243" s="92"/>
      <c r="C243" s="72"/>
      <c r="D243" s="10" t="s">
        <v>99</v>
      </c>
      <c r="E243" s="2">
        <f t="shared" si="110"/>
        <v>160880.3</v>
      </c>
      <c r="F243" s="2">
        <f t="shared" si="110"/>
        <v>114403</v>
      </c>
      <c r="G243" s="2">
        <f>G255+G267+G335+G347+G359+G371+G383</f>
        <v>100116</v>
      </c>
      <c r="H243" s="2">
        <f aca="true" t="shared" si="112" ref="H243:N243">H255+H267+H335+H347+H359+H371+H383</f>
        <v>98107.5</v>
      </c>
      <c r="I243" s="2">
        <f t="shared" si="112"/>
        <v>0</v>
      </c>
      <c r="J243" s="2">
        <f t="shared" si="112"/>
        <v>0</v>
      </c>
      <c r="K243" s="2">
        <f t="shared" si="112"/>
        <v>46669.5</v>
      </c>
      <c r="L243" s="2">
        <f t="shared" si="112"/>
        <v>2200.7</v>
      </c>
      <c r="M243" s="2">
        <f t="shared" si="112"/>
        <v>14094.8</v>
      </c>
      <c r="N243" s="2">
        <f t="shared" si="112"/>
        <v>14094.8</v>
      </c>
      <c r="O243" s="102"/>
      <c r="P243" s="4"/>
    </row>
    <row r="244" spans="1:16" s="12" customFormat="1" ht="15.75">
      <c r="A244" s="72"/>
      <c r="B244" s="92"/>
      <c r="C244" s="72"/>
      <c r="D244" s="10" t="s">
        <v>100</v>
      </c>
      <c r="E244" s="2">
        <f t="shared" si="110"/>
        <v>160880.3</v>
      </c>
      <c r="F244" s="2">
        <f t="shared" si="110"/>
        <v>71897.6</v>
      </c>
      <c r="G244" s="2">
        <f aca="true" t="shared" si="113" ref="G244:N244">G256+G268+G336+G348+G360+G372+G384</f>
        <v>100116</v>
      </c>
      <c r="H244" s="2">
        <f t="shared" si="113"/>
        <v>71897.6</v>
      </c>
      <c r="I244" s="2">
        <f t="shared" si="113"/>
        <v>0</v>
      </c>
      <c r="J244" s="2">
        <f t="shared" si="113"/>
        <v>0</v>
      </c>
      <c r="K244" s="2">
        <f t="shared" si="113"/>
        <v>46669.5</v>
      </c>
      <c r="L244" s="2">
        <f t="shared" si="113"/>
        <v>0</v>
      </c>
      <c r="M244" s="2">
        <f t="shared" si="113"/>
        <v>14094.8</v>
      </c>
      <c r="N244" s="2">
        <f t="shared" si="113"/>
        <v>0</v>
      </c>
      <c r="O244" s="102"/>
      <c r="P244" s="4"/>
    </row>
    <row r="245" spans="1:16" s="12" customFormat="1" ht="15.75">
      <c r="A245" s="72"/>
      <c r="B245" s="92"/>
      <c r="C245" s="72"/>
      <c r="D245" s="10" t="s">
        <v>101</v>
      </c>
      <c r="E245" s="2">
        <f t="shared" si="110"/>
        <v>160880.3</v>
      </c>
      <c r="F245" s="2">
        <f t="shared" si="110"/>
        <v>0</v>
      </c>
      <c r="G245" s="2">
        <f aca="true" t="shared" si="114" ref="G245:N245">G257+G269+G337+G349+G361+G373+G385</f>
        <v>100116</v>
      </c>
      <c r="H245" s="2">
        <f t="shared" si="114"/>
        <v>0</v>
      </c>
      <c r="I245" s="2">
        <f t="shared" si="114"/>
        <v>0</v>
      </c>
      <c r="J245" s="2">
        <f t="shared" si="114"/>
        <v>0</v>
      </c>
      <c r="K245" s="2">
        <f t="shared" si="114"/>
        <v>46669.5</v>
      </c>
      <c r="L245" s="2">
        <f t="shared" si="114"/>
        <v>0</v>
      </c>
      <c r="M245" s="2">
        <f t="shared" si="114"/>
        <v>14094.8</v>
      </c>
      <c r="N245" s="2">
        <f t="shared" si="114"/>
        <v>0</v>
      </c>
      <c r="O245" s="102"/>
      <c r="P245" s="4"/>
    </row>
    <row r="246" spans="1:16" s="12" customFormat="1" ht="15.75">
      <c r="A246" s="72"/>
      <c r="B246" s="92"/>
      <c r="C246" s="72"/>
      <c r="D246" s="10" t="s">
        <v>102</v>
      </c>
      <c r="E246" s="2">
        <f t="shared" si="110"/>
        <v>160880.3</v>
      </c>
      <c r="F246" s="2">
        <f t="shared" si="110"/>
        <v>0</v>
      </c>
      <c r="G246" s="2">
        <f aca="true" t="shared" si="115" ref="G246:N246">G258+G270+G338+G350+G362+G374+G386</f>
        <v>100116</v>
      </c>
      <c r="H246" s="2">
        <f t="shared" si="115"/>
        <v>0</v>
      </c>
      <c r="I246" s="2">
        <f t="shared" si="115"/>
        <v>0</v>
      </c>
      <c r="J246" s="2">
        <f t="shared" si="115"/>
        <v>0</v>
      </c>
      <c r="K246" s="2">
        <f t="shared" si="115"/>
        <v>46669.5</v>
      </c>
      <c r="L246" s="2">
        <f t="shared" si="115"/>
        <v>0</v>
      </c>
      <c r="M246" s="2">
        <f t="shared" si="115"/>
        <v>14094.8</v>
      </c>
      <c r="N246" s="2">
        <f t="shared" si="115"/>
        <v>0</v>
      </c>
      <c r="O246" s="102"/>
      <c r="P246" s="4"/>
    </row>
    <row r="247" spans="1:16" s="12" customFormat="1" ht="15.75">
      <c r="A247" s="72"/>
      <c r="B247" s="92"/>
      <c r="C247" s="73"/>
      <c r="D247" s="10" t="s">
        <v>103</v>
      </c>
      <c r="E247" s="2">
        <f t="shared" si="110"/>
        <v>160880.3</v>
      </c>
      <c r="F247" s="2">
        <f t="shared" si="110"/>
        <v>0</v>
      </c>
      <c r="G247" s="2">
        <f aca="true" t="shared" si="116" ref="G247:N247">G259+G271+G339+G351+G363+G375+G387</f>
        <v>100116</v>
      </c>
      <c r="H247" s="2">
        <f t="shared" si="116"/>
        <v>0</v>
      </c>
      <c r="I247" s="2">
        <f t="shared" si="116"/>
        <v>0</v>
      </c>
      <c r="J247" s="2">
        <f t="shared" si="116"/>
        <v>0</v>
      </c>
      <c r="K247" s="2">
        <f t="shared" si="116"/>
        <v>46669.5</v>
      </c>
      <c r="L247" s="2">
        <f t="shared" si="116"/>
        <v>0</v>
      </c>
      <c r="M247" s="2">
        <f t="shared" si="116"/>
        <v>14094.8</v>
      </c>
      <c r="N247" s="2">
        <f t="shared" si="116"/>
        <v>0</v>
      </c>
      <c r="O247" s="102"/>
      <c r="P247" s="4"/>
    </row>
    <row r="248" spans="1:16" s="12" customFormat="1" ht="15.75" customHeight="1">
      <c r="A248" s="72"/>
      <c r="B248" s="84" t="s">
        <v>27</v>
      </c>
      <c r="C248" s="6"/>
      <c r="D248" s="10" t="s">
        <v>11</v>
      </c>
      <c r="E248" s="2">
        <f>SUM(E249:E259)</f>
        <v>1599697.1030000001</v>
      </c>
      <c r="F248" s="2">
        <f aca="true" t="shared" si="117" ref="F248:N248">SUM(F249:F259)</f>
        <v>918584.4730000001</v>
      </c>
      <c r="G248" s="2">
        <f t="shared" si="117"/>
        <v>957693.2700000001</v>
      </c>
      <c r="H248" s="2">
        <f t="shared" si="117"/>
        <v>654084.24</v>
      </c>
      <c r="I248" s="2">
        <f t="shared" si="117"/>
        <v>738.5</v>
      </c>
      <c r="J248" s="2">
        <f t="shared" si="117"/>
        <v>518.5</v>
      </c>
      <c r="K248" s="2">
        <f t="shared" si="117"/>
        <v>439777.93299999996</v>
      </c>
      <c r="L248" s="2">
        <f>SUM(L249:L259)</f>
        <v>118873.53299999998</v>
      </c>
      <c r="M248" s="2">
        <f t="shared" si="117"/>
        <v>201487.39999999994</v>
      </c>
      <c r="N248" s="2">
        <f t="shared" si="117"/>
        <v>145108.19999999998</v>
      </c>
      <c r="O248" s="102"/>
      <c r="P248" s="4"/>
    </row>
    <row r="249" spans="1:16" s="28" customFormat="1" ht="54.75" customHeight="1">
      <c r="A249" s="72"/>
      <c r="B249" s="84"/>
      <c r="C249" s="1" t="s">
        <v>74</v>
      </c>
      <c r="D249" s="1" t="s">
        <v>12</v>
      </c>
      <c r="E249" s="2">
        <f aca="true" t="shared" si="118" ref="E249:F253">G249+I249+K249+M249</f>
        <v>114532.09999999998</v>
      </c>
      <c r="F249" s="2">
        <f t="shared" si="118"/>
        <v>111157.5</v>
      </c>
      <c r="G249" s="3">
        <f>8503.5+H249-559.8-4514.1-10-45</f>
        <v>77092.99999999999</v>
      </c>
      <c r="H249" s="3">
        <v>73718.4</v>
      </c>
      <c r="I249" s="3">
        <v>0</v>
      </c>
      <c r="J249" s="3">
        <v>0</v>
      </c>
      <c r="K249" s="3">
        <f>L249</f>
        <v>17564.5</v>
      </c>
      <c r="L249" s="3">
        <v>17564.5</v>
      </c>
      <c r="M249" s="3">
        <v>19874.6</v>
      </c>
      <c r="N249" s="3">
        <f aca="true" t="shared" si="119" ref="N249:N254">M249</f>
        <v>19874.6</v>
      </c>
      <c r="O249" s="102"/>
      <c r="P249" s="39"/>
    </row>
    <row r="250" spans="1:16" ht="55.5" customHeight="1">
      <c r="A250" s="72"/>
      <c r="B250" s="84"/>
      <c r="C250" s="1" t="s">
        <v>73</v>
      </c>
      <c r="D250" s="1" t="s">
        <v>13</v>
      </c>
      <c r="E250" s="2">
        <f t="shared" si="118"/>
        <v>126132.86999999998</v>
      </c>
      <c r="F250" s="2">
        <f t="shared" si="118"/>
        <v>121423.63999999998</v>
      </c>
      <c r="G250" s="3">
        <f>H250+260.23+775+150+608+276+300+1300</f>
        <v>83283.06999999998</v>
      </c>
      <c r="H250" s="3">
        <f>79427.7-H302-H309-H316-H323-1165.7-H330+649.4-0.3+991.5+700+70-744.66</f>
        <v>79613.83999999998</v>
      </c>
      <c r="I250" s="3">
        <v>220</v>
      </c>
      <c r="J250" s="3">
        <v>0</v>
      </c>
      <c r="K250" s="3">
        <f>L250+360+460</f>
        <v>17618</v>
      </c>
      <c r="L250" s="3">
        <f>24612.9+72-7886.9</f>
        <v>16798</v>
      </c>
      <c r="M250" s="3">
        <f>25011.8-M274-M281-M302-M309-M316-M323</f>
        <v>25011.8</v>
      </c>
      <c r="N250" s="3">
        <f t="shared" si="119"/>
        <v>25011.8</v>
      </c>
      <c r="O250" s="102"/>
      <c r="P250" s="4"/>
    </row>
    <row r="251" spans="1:16" ht="15" customHeight="1">
      <c r="A251" s="72"/>
      <c r="B251" s="84"/>
      <c r="C251" s="59" t="s">
        <v>87</v>
      </c>
      <c r="D251" s="1" t="s">
        <v>14</v>
      </c>
      <c r="E251" s="2">
        <f t="shared" si="118"/>
        <v>150271.633</v>
      </c>
      <c r="F251" s="2">
        <f t="shared" si="118"/>
        <v>148586.633</v>
      </c>
      <c r="G251" s="3">
        <f>H251+1685</f>
        <v>88590.8</v>
      </c>
      <c r="H251" s="3">
        <f>86449.7-H263-H331+1499.5+20+80+303.6</f>
        <v>86905.8</v>
      </c>
      <c r="I251" s="3">
        <v>0</v>
      </c>
      <c r="J251" s="3">
        <v>0</v>
      </c>
      <c r="K251" s="3">
        <f>L251</f>
        <v>31832.333</v>
      </c>
      <c r="L251" s="3">
        <f>32007.833-175.5</f>
        <v>31832.333</v>
      </c>
      <c r="M251" s="3">
        <f>29848.5-M275-M282-M303-M310-M317-M324</f>
        <v>29848.5</v>
      </c>
      <c r="N251" s="3">
        <f t="shared" si="119"/>
        <v>29848.5</v>
      </c>
      <c r="O251" s="102"/>
      <c r="P251" s="4"/>
    </row>
    <row r="252" spans="1:16" ht="15.75">
      <c r="A252" s="72"/>
      <c r="B252" s="84"/>
      <c r="C252" s="60"/>
      <c r="D252" s="1" t="s">
        <v>15</v>
      </c>
      <c r="E252" s="2">
        <f t="shared" si="118"/>
        <v>163108.8</v>
      </c>
      <c r="F252" s="2">
        <f>H252+J252+L252+N252</f>
        <v>157423</v>
      </c>
      <c r="G252" s="3">
        <f aca="true" t="shared" si="120" ref="G252:G259">G251</f>
        <v>88590.8</v>
      </c>
      <c r="H252" s="3">
        <v>82905</v>
      </c>
      <c r="I252" s="3">
        <f>J252</f>
        <v>518.5</v>
      </c>
      <c r="J252" s="3">
        <v>518.5</v>
      </c>
      <c r="K252" s="3">
        <v>46076.6</v>
      </c>
      <c r="L252" s="3">
        <f>K252</f>
        <v>46076.6</v>
      </c>
      <c r="M252" s="3">
        <v>27922.9</v>
      </c>
      <c r="N252" s="3">
        <f t="shared" si="119"/>
        <v>27922.9</v>
      </c>
      <c r="O252" s="102"/>
      <c r="P252" s="4"/>
    </row>
    <row r="253" spans="1:16" ht="21" customHeight="1">
      <c r="A253" s="72"/>
      <c r="B253" s="84"/>
      <c r="C253" s="60"/>
      <c r="D253" s="1" t="s">
        <v>16</v>
      </c>
      <c r="E253" s="2">
        <f t="shared" si="118"/>
        <v>149521.09999999998</v>
      </c>
      <c r="F253" s="2">
        <f t="shared" si="118"/>
        <v>103820.1</v>
      </c>
      <c r="G253" s="3">
        <f>G252</f>
        <v>88590.8</v>
      </c>
      <c r="H253" s="3">
        <f>89088.1-300-H265-H333+0.1+50</f>
        <v>87358.6</v>
      </c>
      <c r="I253" s="3">
        <v>0</v>
      </c>
      <c r="J253" s="3">
        <v>0</v>
      </c>
      <c r="K253" s="3">
        <v>46669.5</v>
      </c>
      <c r="L253" s="3">
        <v>2200.7</v>
      </c>
      <c r="M253" s="3">
        <f>14260.8-M277-M284-M305-M312-M319-M326</f>
        <v>14260.8</v>
      </c>
      <c r="N253" s="3">
        <f t="shared" si="119"/>
        <v>14260.8</v>
      </c>
      <c r="O253" s="102"/>
      <c r="P253" s="4"/>
    </row>
    <row r="254" spans="1:16" ht="21" customHeight="1">
      <c r="A254" s="72"/>
      <c r="B254" s="84"/>
      <c r="C254" s="60"/>
      <c r="D254" s="1" t="s">
        <v>17</v>
      </c>
      <c r="E254" s="2">
        <f aca="true" t="shared" si="121" ref="E254:F259">G254+I254+K254+M254</f>
        <v>149355.09999999998</v>
      </c>
      <c r="F254" s="2">
        <f t="shared" si="121"/>
        <v>102877.8</v>
      </c>
      <c r="G254" s="3">
        <f t="shared" si="120"/>
        <v>88590.8</v>
      </c>
      <c r="H254" s="3">
        <f>88061.8-H266-H334+0.1</f>
        <v>86582.3</v>
      </c>
      <c r="I254" s="3">
        <v>0</v>
      </c>
      <c r="J254" s="3">
        <v>0</v>
      </c>
      <c r="K254" s="3">
        <f aca="true" t="shared" si="122" ref="K254:K259">K253</f>
        <v>46669.5</v>
      </c>
      <c r="L254" s="3">
        <v>2200.7</v>
      </c>
      <c r="M254" s="3">
        <v>14094.8</v>
      </c>
      <c r="N254" s="3">
        <f t="shared" si="119"/>
        <v>14094.8</v>
      </c>
      <c r="O254" s="102"/>
      <c r="P254" s="4"/>
    </row>
    <row r="255" spans="1:16" ht="21" customHeight="1">
      <c r="A255" s="72"/>
      <c r="B255" s="84"/>
      <c r="C255" s="60"/>
      <c r="D255" s="1" t="s">
        <v>99</v>
      </c>
      <c r="E255" s="2">
        <f>G255+I255+K255+M255</f>
        <v>149355.09999999998</v>
      </c>
      <c r="F255" s="2">
        <f t="shared" si="121"/>
        <v>102877.8</v>
      </c>
      <c r="G255" s="3">
        <f t="shared" si="120"/>
        <v>88590.8</v>
      </c>
      <c r="H255" s="3">
        <f>H254</f>
        <v>86582.3</v>
      </c>
      <c r="I255" s="3">
        <v>0</v>
      </c>
      <c r="J255" s="3">
        <v>0</v>
      </c>
      <c r="K255" s="3">
        <f t="shared" si="122"/>
        <v>46669.5</v>
      </c>
      <c r="L255" s="3">
        <v>2200.7</v>
      </c>
      <c r="M255" s="3">
        <f>M254</f>
        <v>14094.8</v>
      </c>
      <c r="N255" s="3">
        <f>M255</f>
        <v>14094.8</v>
      </c>
      <c r="O255" s="102"/>
      <c r="P255" s="4"/>
    </row>
    <row r="256" spans="1:16" ht="21" customHeight="1">
      <c r="A256" s="72"/>
      <c r="B256" s="84"/>
      <c r="C256" s="60"/>
      <c r="D256" s="1" t="s">
        <v>100</v>
      </c>
      <c r="E256" s="2">
        <f t="shared" si="121"/>
        <v>149355.09999999998</v>
      </c>
      <c r="F256" s="2">
        <f t="shared" si="121"/>
        <v>70418</v>
      </c>
      <c r="G256" s="3">
        <f t="shared" si="120"/>
        <v>88590.8</v>
      </c>
      <c r="H256" s="3">
        <v>70418</v>
      </c>
      <c r="I256" s="3">
        <v>0</v>
      </c>
      <c r="J256" s="3">
        <v>0</v>
      </c>
      <c r="K256" s="3">
        <f t="shared" si="122"/>
        <v>46669.5</v>
      </c>
      <c r="L256" s="3">
        <v>0</v>
      </c>
      <c r="M256" s="3">
        <f>M255</f>
        <v>14094.8</v>
      </c>
      <c r="N256" s="3">
        <v>0</v>
      </c>
      <c r="O256" s="102"/>
      <c r="P256" s="4"/>
    </row>
    <row r="257" spans="1:16" ht="21" customHeight="1">
      <c r="A257" s="72"/>
      <c r="B257" s="84"/>
      <c r="C257" s="60"/>
      <c r="D257" s="1" t="s">
        <v>101</v>
      </c>
      <c r="E257" s="2">
        <f t="shared" si="121"/>
        <v>149355.09999999998</v>
      </c>
      <c r="F257" s="2">
        <f t="shared" si="121"/>
        <v>0</v>
      </c>
      <c r="G257" s="3">
        <f t="shared" si="120"/>
        <v>88590.8</v>
      </c>
      <c r="H257" s="3">
        <v>0</v>
      </c>
      <c r="I257" s="3">
        <v>0</v>
      </c>
      <c r="J257" s="3">
        <v>0</v>
      </c>
      <c r="K257" s="3">
        <f t="shared" si="122"/>
        <v>46669.5</v>
      </c>
      <c r="L257" s="3">
        <v>0</v>
      </c>
      <c r="M257" s="3">
        <f>M256</f>
        <v>14094.8</v>
      </c>
      <c r="N257" s="3">
        <v>0</v>
      </c>
      <c r="O257" s="102"/>
      <c r="P257" s="4"/>
    </row>
    <row r="258" spans="1:16" ht="21" customHeight="1">
      <c r="A258" s="72"/>
      <c r="B258" s="84"/>
      <c r="C258" s="60"/>
      <c r="D258" s="1" t="s">
        <v>102</v>
      </c>
      <c r="E258" s="2">
        <f t="shared" si="121"/>
        <v>149355.09999999998</v>
      </c>
      <c r="F258" s="2">
        <f t="shared" si="121"/>
        <v>0</v>
      </c>
      <c r="G258" s="3">
        <f t="shared" si="120"/>
        <v>88590.8</v>
      </c>
      <c r="H258" s="3">
        <v>0</v>
      </c>
      <c r="I258" s="3">
        <v>0</v>
      </c>
      <c r="J258" s="3">
        <v>0</v>
      </c>
      <c r="K258" s="3">
        <f t="shared" si="122"/>
        <v>46669.5</v>
      </c>
      <c r="L258" s="3">
        <v>0</v>
      </c>
      <c r="M258" s="3">
        <f>M257</f>
        <v>14094.8</v>
      </c>
      <c r="N258" s="3">
        <v>0</v>
      </c>
      <c r="O258" s="102"/>
      <c r="P258" s="4"/>
    </row>
    <row r="259" spans="1:16" ht="45" customHeight="1">
      <c r="A259" s="72"/>
      <c r="B259" s="85"/>
      <c r="C259" s="87"/>
      <c r="D259" s="1" t="s">
        <v>103</v>
      </c>
      <c r="E259" s="2">
        <f t="shared" si="121"/>
        <v>149355.09999999998</v>
      </c>
      <c r="F259" s="2">
        <f t="shared" si="121"/>
        <v>0</v>
      </c>
      <c r="G259" s="3">
        <f t="shared" si="120"/>
        <v>88590.8</v>
      </c>
      <c r="H259" s="3">
        <v>0</v>
      </c>
      <c r="I259" s="3">
        <v>0</v>
      </c>
      <c r="J259" s="3">
        <v>0</v>
      </c>
      <c r="K259" s="3">
        <f t="shared" si="122"/>
        <v>46669.5</v>
      </c>
      <c r="L259" s="3">
        <v>0</v>
      </c>
      <c r="M259" s="3">
        <f>M258</f>
        <v>14094.8</v>
      </c>
      <c r="N259" s="3">
        <v>0</v>
      </c>
      <c r="O259" s="102"/>
      <c r="P259" s="4"/>
    </row>
    <row r="260" spans="1:16" s="12" customFormat="1" ht="15.75" customHeight="1">
      <c r="A260" s="72"/>
      <c r="B260" s="77" t="s">
        <v>28</v>
      </c>
      <c r="C260" s="13"/>
      <c r="D260" s="10" t="s">
        <v>11</v>
      </c>
      <c r="E260" s="2">
        <f>SUM(E261:E271)</f>
        <v>12867.4</v>
      </c>
      <c r="F260" s="2">
        <f aca="true" t="shared" si="123" ref="F260:N260">SUM(F261:F271)</f>
        <v>8770.9</v>
      </c>
      <c r="G260" s="2">
        <f t="shared" si="123"/>
        <v>12867.4</v>
      </c>
      <c r="H260" s="2">
        <f t="shared" si="123"/>
        <v>8770.9</v>
      </c>
      <c r="I260" s="2">
        <f t="shared" si="123"/>
        <v>0</v>
      </c>
      <c r="J260" s="2">
        <f t="shared" si="123"/>
        <v>0</v>
      </c>
      <c r="K260" s="2">
        <f t="shared" si="123"/>
        <v>0</v>
      </c>
      <c r="L260" s="2">
        <f t="shared" si="123"/>
        <v>0</v>
      </c>
      <c r="M260" s="2">
        <f t="shared" si="123"/>
        <v>0</v>
      </c>
      <c r="N260" s="2">
        <f t="shared" si="123"/>
        <v>0</v>
      </c>
      <c r="O260" s="102"/>
      <c r="P260" s="4"/>
    </row>
    <row r="261" spans="1:16" s="28" customFormat="1" ht="30" customHeight="1">
      <c r="A261" s="72"/>
      <c r="B261" s="77"/>
      <c r="C261" s="17" t="s">
        <v>82</v>
      </c>
      <c r="D261" s="1" t="s">
        <v>12</v>
      </c>
      <c r="E261" s="2">
        <f aca="true" t="shared" si="124" ref="E261:F265">G261+I261+K261+M261</f>
        <v>1526.6</v>
      </c>
      <c r="F261" s="2">
        <f t="shared" si="124"/>
        <v>926.6</v>
      </c>
      <c r="G261" s="3">
        <f>600+H261</f>
        <v>1526.6</v>
      </c>
      <c r="H261" s="3">
        <v>926.6</v>
      </c>
      <c r="I261" s="3">
        <v>0</v>
      </c>
      <c r="J261" s="3">
        <v>0</v>
      </c>
      <c r="K261" s="3">
        <v>0</v>
      </c>
      <c r="L261" s="3">
        <v>0</v>
      </c>
      <c r="M261" s="3">
        <f>N261</f>
        <v>0</v>
      </c>
      <c r="N261" s="3">
        <v>0</v>
      </c>
      <c r="O261" s="102"/>
      <c r="P261" s="39"/>
    </row>
    <row r="262" spans="1:16" ht="25.5" customHeight="1">
      <c r="A262" s="72"/>
      <c r="B262" s="77"/>
      <c r="C262" s="59" t="s">
        <v>56</v>
      </c>
      <c r="D262" s="1" t="s">
        <v>13</v>
      </c>
      <c r="E262" s="2">
        <f t="shared" si="124"/>
        <v>1052.1</v>
      </c>
      <c r="F262" s="2">
        <f t="shared" si="124"/>
        <v>1052.1</v>
      </c>
      <c r="G262" s="3">
        <f>H262</f>
        <v>1052.1</v>
      </c>
      <c r="H262" s="3">
        <f>52.1+1160.5-46.9-113.6</f>
        <v>1052.1</v>
      </c>
      <c r="I262" s="3">
        <v>0</v>
      </c>
      <c r="J262" s="3">
        <v>0</v>
      </c>
      <c r="K262" s="3">
        <v>0</v>
      </c>
      <c r="L262" s="3">
        <v>0</v>
      </c>
      <c r="M262" s="3">
        <f>N262</f>
        <v>0</v>
      </c>
      <c r="N262" s="3">
        <v>0</v>
      </c>
      <c r="O262" s="102"/>
      <c r="P262" s="4"/>
    </row>
    <row r="263" spans="1:24" ht="15" customHeight="1">
      <c r="A263" s="72"/>
      <c r="B263" s="77"/>
      <c r="C263" s="60"/>
      <c r="D263" s="1" t="s">
        <v>14</v>
      </c>
      <c r="E263" s="2">
        <f t="shared" si="124"/>
        <v>1132.9</v>
      </c>
      <c r="F263" s="2">
        <f t="shared" si="124"/>
        <v>1132.9</v>
      </c>
      <c r="G263" s="3">
        <f>H263</f>
        <v>1132.9</v>
      </c>
      <c r="H263" s="3">
        <f>1165.5-32.6</f>
        <v>1132.9</v>
      </c>
      <c r="I263" s="3">
        <v>0</v>
      </c>
      <c r="J263" s="3">
        <v>0</v>
      </c>
      <c r="K263" s="3">
        <v>0</v>
      </c>
      <c r="L263" s="3">
        <v>0</v>
      </c>
      <c r="M263" s="3">
        <f>1.1*M262</f>
        <v>0</v>
      </c>
      <c r="N263" s="3">
        <v>0</v>
      </c>
      <c r="O263" s="102"/>
      <c r="P263" s="4"/>
      <c r="X263" s="38"/>
    </row>
    <row r="264" spans="1:16" ht="15.75">
      <c r="A264" s="72"/>
      <c r="B264" s="77"/>
      <c r="C264" s="60"/>
      <c r="D264" s="1" t="s">
        <v>15</v>
      </c>
      <c r="E264" s="2">
        <f aca="true" t="shared" si="125" ref="E264:E271">G264+I264+K264+M264</f>
        <v>997.3</v>
      </c>
      <c r="F264" s="2">
        <f t="shared" si="124"/>
        <v>997.3</v>
      </c>
      <c r="G264" s="3">
        <f>H264</f>
        <v>997.3</v>
      </c>
      <c r="H264" s="3">
        <v>997.3</v>
      </c>
      <c r="I264" s="3">
        <v>0</v>
      </c>
      <c r="J264" s="3">
        <v>0</v>
      </c>
      <c r="K264" s="3">
        <v>0</v>
      </c>
      <c r="L264" s="3">
        <v>0</v>
      </c>
      <c r="M264" s="3">
        <f>1.1*M263</f>
        <v>0</v>
      </c>
      <c r="N264" s="3">
        <v>0</v>
      </c>
      <c r="O264" s="102"/>
      <c r="P264" s="4"/>
    </row>
    <row r="265" spans="1:16" ht="15.75">
      <c r="A265" s="72"/>
      <c r="B265" s="77"/>
      <c r="C265" s="60"/>
      <c r="D265" s="1" t="s">
        <v>16</v>
      </c>
      <c r="E265" s="2">
        <f t="shared" si="125"/>
        <v>1165.5</v>
      </c>
      <c r="F265" s="2">
        <f t="shared" si="124"/>
        <v>1165.5</v>
      </c>
      <c r="G265" s="3">
        <f>H265</f>
        <v>1165.5</v>
      </c>
      <c r="H265" s="3">
        <v>1165.5</v>
      </c>
      <c r="I265" s="3">
        <v>0</v>
      </c>
      <c r="J265" s="3">
        <v>0</v>
      </c>
      <c r="K265" s="3">
        <v>0</v>
      </c>
      <c r="L265" s="3">
        <v>0</v>
      </c>
      <c r="M265" s="3">
        <f>1.1*M264</f>
        <v>0</v>
      </c>
      <c r="N265" s="3">
        <v>0</v>
      </c>
      <c r="O265" s="102"/>
      <c r="P265" s="4"/>
    </row>
    <row r="266" spans="1:16" ht="15.75">
      <c r="A266" s="72"/>
      <c r="B266" s="77"/>
      <c r="C266" s="60"/>
      <c r="D266" s="1" t="s">
        <v>17</v>
      </c>
      <c r="E266" s="2">
        <f t="shared" si="125"/>
        <v>1165.5</v>
      </c>
      <c r="F266" s="2">
        <f aca="true" t="shared" si="126" ref="F266:F271">H266+J266+L266+N266</f>
        <v>1165.5</v>
      </c>
      <c r="G266" s="3">
        <f aca="true" t="shared" si="127" ref="G266:H268">G265</f>
        <v>1165.5</v>
      </c>
      <c r="H266" s="3">
        <f t="shared" si="127"/>
        <v>1165.5</v>
      </c>
      <c r="I266" s="3">
        <v>0</v>
      </c>
      <c r="J266" s="3">
        <v>0</v>
      </c>
      <c r="K266" s="3">
        <v>0</v>
      </c>
      <c r="L266" s="3">
        <v>0</v>
      </c>
      <c r="M266" s="3">
        <f>1.1*M265</f>
        <v>0</v>
      </c>
      <c r="N266" s="3">
        <v>0</v>
      </c>
      <c r="O266" s="102"/>
      <c r="P266" s="4"/>
    </row>
    <row r="267" spans="1:16" ht="15.75">
      <c r="A267" s="72"/>
      <c r="B267" s="77"/>
      <c r="C267" s="60"/>
      <c r="D267" s="1" t="s">
        <v>99</v>
      </c>
      <c r="E267" s="2">
        <f t="shared" si="125"/>
        <v>1165.5</v>
      </c>
      <c r="F267" s="2">
        <f t="shared" si="126"/>
        <v>1165.5</v>
      </c>
      <c r="G267" s="3">
        <f t="shared" si="127"/>
        <v>1165.5</v>
      </c>
      <c r="H267" s="3">
        <f t="shared" si="127"/>
        <v>1165.5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02"/>
      <c r="P267" s="4"/>
    </row>
    <row r="268" spans="1:16" ht="15.75">
      <c r="A268" s="72"/>
      <c r="B268" s="77"/>
      <c r="C268" s="60"/>
      <c r="D268" s="1" t="s">
        <v>100</v>
      </c>
      <c r="E268" s="2">
        <f t="shared" si="125"/>
        <v>1165.5</v>
      </c>
      <c r="F268" s="2">
        <f t="shared" si="126"/>
        <v>1165.5</v>
      </c>
      <c r="G268" s="3">
        <f t="shared" si="127"/>
        <v>1165.5</v>
      </c>
      <c r="H268" s="3">
        <v>1165.5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02"/>
      <c r="P268" s="4"/>
    </row>
    <row r="269" spans="1:16" ht="15.75">
      <c r="A269" s="72"/>
      <c r="B269" s="77"/>
      <c r="C269" s="60"/>
      <c r="D269" s="1" t="s">
        <v>101</v>
      </c>
      <c r="E269" s="2">
        <f t="shared" si="125"/>
        <v>1165.5</v>
      </c>
      <c r="F269" s="2">
        <f t="shared" si="126"/>
        <v>0</v>
      </c>
      <c r="G269" s="3">
        <f>G268</f>
        <v>1165.5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02"/>
      <c r="P269" s="4"/>
    </row>
    <row r="270" spans="1:16" ht="15.75">
      <c r="A270" s="72"/>
      <c r="B270" s="77"/>
      <c r="C270" s="60"/>
      <c r="D270" s="1" t="s">
        <v>102</v>
      </c>
      <c r="E270" s="2">
        <f t="shared" si="125"/>
        <v>1165.5</v>
      </c>
      <c r="F270" s="2">
        <f t="shared" si="126"/>
        <v>0</v>
      </c>
      <c r="G270" s="3">
        <f>G269</f>
        <v>1165.5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102"/>
      <c r="P270" s="4"/>
    </row>
    <row r="271" spans="1:16" ht="15.75">
      <c r="A271" s="72"/>
      <c r="B271" s="77"/>
      <c r="C271" s="87"/>
      <c r="D271" s="1" t="s">
        <v>103</v>
      </c>
      <c r="E271" s="2">
        <f t="shared" si="125"/>
        <v>1165.5</v>
      </c>
      <c r="F271" s="2">
        <f t="shared" si="126"/>
        <v>0</v>
      </c>
      <c r="G271" s="3">
        <f>G270</f>
        <v>1165.5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02"/>
      <c r="P271" s="4"/>
    </row>
    <row r="272" spans="1:16" s="12" customFormat="1" ht="15" customHeight="1">
      <c r="A272" s="72"/>
      <c r="B272" s="77" t="s">
        <v>29</v>
      </c>
      <c r="C272" s="55"/>
      <c r="D272" s="10" t="s">
        <v>11</v>
      </c>
      <c r="E272" s="2">
        <f>SUM(E273:E278)</f>
        <v>1815.6</v>
      </c>
      <c r="F272" s="2">
        <f aca="true" t="shared" si="128" ref="F272:L272">SUM(F273:F278)</f>
        <v>1515.6</v>
      </c>
      <c r="G272" s="2">
        <f t="shared" si="128"/>
        <v>1500</v>
      </c>
      <c r="H272" s="2">
        <f t="shared" si="128"/>
        <v>1500</v>
      </c>
      <c r="I272" s="2">
        <f t="shared" si="128"/>
        <v>0</v>
      </c>
      <c r="J272" s="2">
        <f t="shared" si="128"/>
        <v>0</v>
      </c>
      <c r="K272" s="2">
        <f t="shared" si="128"/>
        <v>300</v>
      </c>
      <c r="L272" s="2">
        <f t="shared" si="128"/>
        <v>0</v>
      </c>
      <c r="M272" s="2">
        <f>SUM(M273:M278)</f>
        <v>15.6</v>
      </c>
      <c r="N272" s="2">
        <f>SUM(N273:N278)</f>
        <v>15.6</v>
      </c>
      <c r="O272" s="102"/>
      <c r="P272" s="4"/>
    </row>
    <row r="273" spans="1:16" s="28" customFormat="1" ht="30.75" customHeight="1">
      <c r="A273" s="72"/>
      <c r="B273" s="77"/>
      <c r="C273" s="56"/>
      <c r="D273" s="1" t="s">
        <v>12</v>
      </c>
      <c r="E273" s="2">
        <f>G273+I273+K273+M273</f>
        <v>1815.6</v>
      </c>
      <c r="F273" s="2">
        <f>H273+J273+L273+N273</f>
        <v>1515.6</v>
      </c>
      <c r="G273" s="3">
        <v>1500</v>
      </c>
      <c r="H273" s="3">
        <v>1500</v>
      </c>
      <c r="I273" s="3">
        <v>0</v>
      </c>
      <c r="J273" s="3">
        <v>0</v>
      </c>
      <c r="K273" s="3">
        <v>300</v>
      </c>
      <c r="L273" s="3">
        <v>0</v>
      </c>
      <c r="M273" s="3">
        <v>15.6</v>
      </c>
      <c r="N273" s="3">
        <f>M273</f>
        <v>15.6</v>
      </c>
      <c r="O273" s="102"/>
      <c r="P273" s="39"/>
    </row>
    <row r="274" spans="1:16" ht="25.5" customHeight="1">
      <c r="A274" s="72"/>
      <c r="B274" s="77"/>
      <c r="C274" s="57"/>
      <c r="D274" s="1" t="s">
        <v>13</v>
      </c>
      <c r="E274" s="61" t="s">
        <v>111</v>
      </c>
      <c r="F274" s="62"/>
      <c r="G274" s="62"/>
      <c r="H274" s="62"/>
      <c r="I274" s="62"/>
      <c r="J274" s="62"/>
      <c r="K274" s="62"/>
      <c r="L274" s="62"/>
      <c r="M274" s="62"/>
      <c r="N274" s="63"/>
      <c r="O274" s="102"/>
      <c r="P274" s="4"/>
    </row>
    <row r="275" spans="1:16" ht="15" customHeight="1" hidden="1">
      <c r="A275" s="72"/>
      <c r="B275" s="77"/>
      <c r="C275" s="1"/>
      <c r="D275" s="1" t="s">
        <v>14</v>
      </c>
      <c r="E275" s="78"/>
      <c r="F275" s="79"/>
      <c r="G275" s="79"/>
      <c r="H275" s="79"/>
      <c r="I275" s="79"/>
      <c r="J275" s="79"/>
      <c r="K275" s="79"/>
      <c r="L275" s="79"/>
      <c r="M275" s="79"/>
      <c r="N275" s="80"/>
      <c r="O275" s="102"/>
      <c r="P275" s="4"/>
    </row>
    <row r="276" spans="1:16" ht="15" customHeight="1" hidden="1">
      <c r="A276" s="72"/>
      <c r="B276" s="77"/>
      <c r="C276" s="1"/>
      <c r="D276" s="1" t="s">
        <v>15</v>
      </c>
      <c r="E276" s="78"/>
      <c r="F276" s="79"/>
      <c r="G276" s="79"/>
      <c r="H276" s="79"/>
      <c r="I276" s="79"/>
      <c r="J276" s="79"/>
      <c r="K276" s="79"/>
      <c r="L276" s="79"/>
      <c r="M276" s="79"/>
      <c r="N276" s="80"/>
      <c r="O276" s="102"/>
      <c r="P276" s="4"/>
    </row>
    <row r="277" spans="1:16" ht="15" customHeight="1" hidden="1">
      <c r="A277" s="72"/>
      <c r="B277" s="77"/>
      <c r="C277" s="1"/>
      <c r="D277" s="1" t="s">
        <v>16</v>
      </c>
      <c r="E277" s="78"/>
      <c r="F277" s="79"/>
      <c r="G277" s="79"/>
      <c r="H277" s="79"/>
      <c r="I277" s="79"/>
      <c r="J277" s="79"/>
      <c r="K277" s="79"/>
      <c r="L277" s="79"/>
      <c r="M277" s="79"/>
      <c r="N277" s="80"/>
      <c r="O277" s="102"/>
      <c r="P277" s="4"/>
    </row>
    <row r="278" spans="1:16" ht="15" customHeight="1" hidden="1">
      <c r="A278" s="72"/>
      <c r="B278" s="77"/>
      <c r="C278" s="1"/>
      <c r="D278" s="1" t="s">
        <v>17</v>
      </c>
      <c r="E278" s="81"/>
      <c r="F278" s="82"/>
      <c r="G278" s="82"/>
      <c r="H278" s="82"/>
      <c r="I278" s="82"/>
      <c r="J278" s="82"/>
      <c r="K278" s="82"/>
      <c r="L278" s="82"/>
      <c r="M278" s="82"/>
      <c r="N278" s="83"/>
      <c r="O278" s="102"/>
      <c r="P278" s="4"/>
    </row>
    <row r="279" spans="1:16" s="12" customFormat="1" ht="15.75">
      <c r="A279" s="72"/>
      <c r="B279" s="77" t="s">
        <v>52</v>
      </c>
      <c r="C279" s="59" t="s">
        <v>58</v>
      </c>
      <c r="D279" s="10" t="s">
        <v>11</v>
      </c>
      <c r="E279" s="2">
        <f>SUM(E280:E285)</f>
        <v>6500</v>
      </c>
      <c r="F279" s="2">
        <f aca="true" t="shared" si="129" ref="F279:N279">SUM(F280:F285)</f>
        <v>0</v>
      </c>
      <c r="G279" s="2">
        <f t="shared" si="129"/>
        <v>6500</v>
      </c>
      <c r="H279" s="2">
        <f t="shared" si="129"/>
        <v>0</v>
      </c>
      <c r="I279" s="2">
        <f t="shared" si="129"/>
        <v>0</v>
      </c>
      <c r="J279" s="2">
        <f t="shared" si="129"/>
        <v>0</v>
      </c>
      <c r="K279" s="2">
        <f t="shared" si="129"/>
        <v>0</v>
      </c>
      <c r="L279" s="2">
        <f t="shared" si="129"/>
        <v>0</v>
      </c>
      <c r="M279" s="2">
        <f t="shared" si="129"/>
        <v>0</v>
      </c>
      <c r="N279" s="2">
        <f t="shared" si="129"/>
        <v>0</v>
      </c>
      <c r="O279" s="102"/>
      <c r="P279" s="4"/>
    </row>
    <row r="280" spans="1:16" s="28" customFormat="1" ht="31.5" customHeight="1">
      <c r="A280" s="72"/>
      <c r="B280" s="77"/>
      <c r="C280" s="60"/>
      <c r="D280" s="1" t="s">
        <v>12</v>
      </c>
      <c r="E280" s="2">
        <f>G280+I280+K280+M280</f>
        <v>6500</v>
      </c>
      <c r="F280" s="2">
        <f>H280+J280+L280+N280</f>
        <v>0</v>
      </c>
      <c r="G280" s="3">
        <f>6500</f>
        <v>6500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f>M280</f>
        <v>0</v>
      </c>
      <c r="O280" s="102"/>
      <c r="P280" s="39"/>
    </row>
    <row r="281" spans="1:16" ht="31.5" customHeight="1">
      <c r="A281" s="72"/>
      <c r="B281" s="77"/>
      <c r="C281" s="87"/>
      <c r="D281" s="1" t="s">
        <v>13</v>
      </c>
      <c r="E281" s="61" t="s">
        <v>111</v>
      </c>
      <c r="F281" s="62"/>
      <c r="G281" s="62"/>
      <c r="H281" s="62"/>
      <c r="I281" s="62"/>
      <c r="J281" s="62"/>
      <c r="K281" s="62"/>
      <c r="L281" s="62"/>
      <c r="M281" s="62"/>
      <c r="N281" s="63"/>
      <c r="O281" s="102"/>
      <c r="P281" s="4"/>
    </row>
    <row r="282" spans="1:16" ht="15" customHeight="1" hidden="1">
      <c r="A282" s="72"/>
      <c r="B282" s="77"/>
      <c r="C282" s="1"/>
      <c r="D282" s="1" t="s">
        <v>14</v>
      </c>
      <c r="E282" s="78"/>
      <c r="F282" s="79"/>
      <c r="G282" s="79"/>
      <c r="H282" s="79"/>
      <c r="I282" s="79"/>
      <c r="J282" s="79"/>
      <c r="K282" s="79"/>
      <c r="L282" s="79"/>
      <c r="M282" s="79"/>
      <c r="N282" s="80"/>
      <c r="O282" s="102"/>
      <c r="P282" s="4"/>
    </row>
    <row r="283" spans="1:16" ht="15" customHeight="1" hidden="1">
      <c r="A283" s="72"/>
      <c r="B283" s="77"/>
      <c r="C283" s="1"/>
      <c r="D283" s="1" t="s">
        <v>15</v>
      </c>
      <c r="E283" s="78"/>
      <c r="F283" s="79"/>
      <c r="G283" s="79"/>
      <c r="H283" s="79"/>
      <c r="I283" s="79"/>
      <c r="J283" s="79"/>
      <c r="K283" s="79"/>
      <c r="L283" s="79"/>
      <c r="M283" s="79"/>
      <c r="N283" s="80"/>
      <c r="O283" s="102"/>
      <c r="P283" s="4"/>
    </row>
    <row r="284" spans="1:16" ht="15" customHeight="1" hidden="1">
      <c r="A284" s="72"/>
      <c r="B284" s="77"/>
      <c r="C284" s="1"/>
      <c r="D284" s="1" t="s">
        <v>16</v>
      </c>
      <c r="E284" s="78"/>
      <c r="F284" s="79"/>
      <c r="G284" s="79"/>
      <c r="H284" s="79"/>
      <c r="I284" s="79"/>
      <c r="J284" s="79"/>
      <c r="K284" s="79"/>
      <c r="L284" s="79"/>
      <c r="M284" s="79"/>
      <c r="N284" s="80"/>
      <c r="O284" s="102"/>
      <c r="P284" s="4"/>
    </row>
    <row r="285" spans="1:16" ht="15" customHeight="1" hidden="1">
      <c r="A285" s="72"/>
      <c r="B285" s="77"/>
      <c r="C285" s="1"/>
      <c r="D285" s="1" t="s">
        <v>17</v>
      </c>
      <c r="E285" s="81"/>
      <c r="F285" s="82"/>
      <c r="G285" s="82"/>
      <c r="H285" s="82"/>
      <c r="I285" s="82"/>
      <c r="J285" s="82"/>
      <c r="K285" s="82"/>
      <c r="L285" s="82"/>
      <c r="M285" s="82"/>
      <c r="N285" s="83"/>
      <c r="O285" s="102"/>
      <c r="P285" s="4"/>
    </row>
    <row r="286" spans="1:16" ht="15" customHeight="1" hidden="1">
      <c r="A286" s="72"/>
      <c r="B286" s="77" t="s">
        <v>30</v>
      </c>
      <c r="C286" s="1"/>
      <c r="D286" s="1" t="s">
        <v>11</v>
      </c>
      <c r="E286" s="2">
        <f>SUM(E287:E292)</f>
        <v>0</v>
      </c>
      <c r="F286" s="2">
        <f aca="true" t="shared" si="130" ref="F286:N286">SUM(F287:F292)</f>
        <v>0</v>
      </c>
      <c r="G286" s="3">
        <f t="shared" si="130"/>
        <v>0</v>
      </c>
      <c r="H286" s="3">
        <f t="shared" si="130"/>
        <v>0</v>
      </c>
      <c r="I286" s="3">
        <f t="shared" si="130"/>
        <v>0</v>
      </c>
      <c r="J286" s="3">
        <f t="shared" si="130"/>
        <v>0</v>
      </c>
      <c r="K286" s="3">
        <f t="shared" si="130"/>
        <v>0</v>
      </c>
      <c r="L286" s="3">
        <f t="shared" si="130"/>
        <v>0</v>
      </c>
      <c r="M286" s="3">
        <f t="shared" si="130"/>
        <v>0</v>
      </c>
      <c r="N286" s="3">
        <f t="shared" si="130"/>
        <v>0</v>
      </c>
      <c r="O286" s="102"/>
      <c r="P286" s="4"/>
    </row>
    <row r="287" spans="1:16" s="28" customFormat="1" ht="15" customHeight="1" hidden="1">
      <c r="A287" s="72"/>
      <c r="B287" s="77" t="s">
        <v>20</v>
      </c>
      <c r="C287" s="1"/>
      <c r="D287" s="1" t="s">
        <v>12</v>
      </c>
      <c r="E287" s="2">
        <f aca="true" t="shared" si="131" ref="E287:F292">G287+I287+K287+M287</f>
        <v>0</v>
      </c>
      <c r="F287" s="2">
        <f t="shared" si="131"/>
        <v>0</v>
      </c>
      <c r="G287" s="3"/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f aca="true" t="shared" si="132" ref="M287:M292">N287</f>
        <v>0</v>
      </c>
      <c r="N287" s="3">
        <v>0</v>
      </c>
      <c r="O287" s="102"/>
      <c r="P287" s="39"/>
    </row>
    <row r="288" spans="1:16" ht="15" customHeight="1" hidden="1">
      <c r="A288" s="72"/>
      <c r="B288" s="77" t="s">
        <v>21</v>
      </c>
      <c r="C288" s="1"/>
      <c r="D288" s="1" t="s">
        <v>13</v>
      </c>
      <c r="E288" s="2">
        <f t="shared" si="131"/>
        <v>0</v>
      </c>
      <c r="F288" s="2">
        <f t="shared" si="131"/>
        <v>0</v>
      </c>
      <c r="G288" s="3"/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f t="shared" si="132"/>
        <v>0</v>
      </c>
      <c r="N288" s="3">
        <v>0</v>
      </c>
      <c r="O288" s="102"/>
      <c r="P288" s="4"/>
    </row>
    <row r="289" spans="1:16" ht="15" customHeight="1" hidden="1">
      <c r="A289" s="72"/>
      <c r="B289" s="77"/>
      <c r="C289" s="1"/>
      <c r="D289" s="1" t="s">
        <v>14</v>
      </c>
      <c r="E289" s="2">
        <f t="shared" si="131"/>
        <v>0</v>
      </c>
      <c r="F289" s="2">
        <f t="shared" si="131"/>
        <v>0</v>
      </c>
      <c r="G289" s="3"/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f t="shared" si="132"/>
        <v>0</v>
      </c>
      <c r="N289" s="3">
        <v>0</v>
      </c>
      <c r="O289" s="102"/>
      <c r="P289" s="4"/>
    </row>
    <row r="290" spans="1:16" ht="15" customHeight="1" hidden="1">
      <c r="A290" s="72"/>
      <c r="B290" s="77"/>
      <c r="C290" s="1"/>
      <c r="D290" s="1" t="s">
        <v>15</v>
      </c>
      <c r="E290" s="2">
        <f t="shared" si="131"/>
        <v>0</v>
      </c>
      <c r="F290" s="2">
        <f t="shared" si="131"/>
        <v>0</v>
      </c>
      <c r="G290" s="3"/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f t="shared" si="132"/>
        <v>0</v>
      </c>
      <c r="N290" s="3">
        <v>0</v>
      </c>
      <c r="O290" s="102"/>
      <c r="P290" s="4"/>
    </row>
    <row r="291" spans="1:16" ht="15" customHeight="1" hidden="1">
      <c r="A291" s="72"/>
      <c r="B291" s="77"/>
      <c r="C291" s="1"/>
      <c r="D291" s="1" t="s">
        <v>16</v>
      </c>
      <c r="E291" s="2">
        <f t="shared" si="131"/>
        <v>0</v>
      </c>
      <c r="F291" s="2">
        <f t="shared" si="131"/>
        <v>0</v>
      </c>
      <c r="G291" s="3"/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f t="shared" si="132"/>
        <v>0</v>
      </c>
      <c r="N291" s="3">
        <v>0</v>
      </c>
      <c r="O291" s="102"/>
      <c r="P291" s="4"/>
    </row>
    <row r="292" spans="1:16" ht="15" customHeight="1" hidden="1">
      <c r="A292" s="72"/>
      <c r="B292" s="77"/>
      <c r="C292" s="1"/>
      <c r="D292" s="1" t="s">
        <v>17</v>
      </c>
      <c r="E292" s="2">
        <f t="shared" si="131"/>
        <v>0</v>
      </c>
      <c r="F292" s="2">
        <f t="shared" si="131"/>
        <v>0</v>
      </c>
      <c r="G292" s="3"/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f t="shared" si="132"/>
        <v>0</v>
      </c>
      <c r="N292" s="3">
        <v>0</v>
      </c>
      <c r="O292" s="102"/>
      <c r="P292" s="4"/>
    </row>
    <row r="293" spans="1:16" ht="15" customHeight="1" hidden="1">
      <c r="A293" s="72"/>
      <c r="B293" s="77" t="s">
        <v>31</v>
      </c>
      <c r="C293" s="1"/>
      <c r="D293" s="1" t="s">
        <v>11</v>
      </c>
      <c r="E293" s="2">
        <f>SUM(E294:E299)</f>
        <v>0</v>
      </c>
      <c r="F293" s="2">
        <f aca="true" t="shared" si="133" ref="F293:N293">SUM(F294:F299)</f>
        <v>0</v>
      </c>
      <c r="G293" s="3">
        <f t="shared" si="133"/>
        <v>0</v>
      </c>
      <c r="H293" s="3">
        <f t="shared" si="133"/>
        <v>0</v>
      </c>
      <c r="I293" s="3">
        <f t="shared" si="133"/>
        <v>0</v>
      </c>
      <c r="J293" s="3">
        <f t="shared" si="133"/>
        <v>0</v>
      </c>
      <c r="K293" s="3">
        <f t="shared" si="133"/>
        <v>0</v>
      </c>
      <c r="L293" s="3">
        <f t="shared" si="133"/>
        <v>0</v>
      </c>
      <c r="M293" s="3">
        <f t="shared" si="133"/>
        <v>0</v>
      </c>
      <c r="N293" s="3">
        <f t="shared" si="133"/>
        <v>0</v>
      </c>
      <c r="O293" s="102"/>
      <c r="P293" s="4"/>
    </row>
    <row r="294" spans="1:16" s="28" customFormat="1" ht="15" customHeight="1" hidden="1">
      <c r="A294" s="72"/>
      <c r="B294" s="77"/>
      <c r="C294" s="1"/>
      <c r="D294" s="1" t="s">
        <v>12</v>
      </c>
      <c r="E294" s="2">
        <f aca="true" t="shared" si="134" ref="E294:F299">G294+I294+K294+M294</f>
        <v>0</v>
      </c>
      <c r="F294" s="2">
        <f t="shared" si="134"/>
        <v>0</v>
      </c>
      <c r="G294" s="3"/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f aca="true" t="shared" si="135" ref="M294:M299">N294</f>
        <v>0</v>
      </c>
      <c r="N294" s="3">
        <v>0</v>
      </c>
      <c r="O294" s="102"/>
      <c r="P294" s="39"/>
    </row>
    <row r="295" spans="1:16" ht="15" customHeight="1" hidden="1">
      <c r="A295" s="72"/>
      <c r="B295" s="77"/>
      <c r="C295" s="1"/>
      <c r="D295" s="1" t="s">
        <v>13</v>
      </c>
      <c r="E295" s="2">
        <f t="shared" si="134"/>
        <v>0</v>
      </c>
      <c r="F295" s="2">
        <f t="shared" si="134"/>
        <v>0</v>
      </c>
      <c r="G295" s="3"/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f t="shared" si="135"/>
        <v>0</v>
      </c>
      <c r="N295" s="3">
        <v>0</v>
      </c>
      <c r="O295" s="102"/>
      <c r="P295" s="4"/>
    </row>
    <row r="296" spans="1:16" ht="15" customHeight="1" hidden="1">
      <c r="A296" s="72"/>
      <c r="B296" s="77"/>
      <c r="C296" s="1"/>
      <c r="D296" s="1" t="s">
        <v>14</v>
      </c>
      <c r="E296" s="2">
        <f t="shared" si="134"/>
        <v>0</v>
      </c>
      <c r="F296" s="2">
        <f t="shared" si="134"/>
        <v>0</v>
      </c>
      <c r="G296" s="3"/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f t="shared" si="135"/>
        <v>0</v>
      </c>
      <c r="N296" s="3">
        <v>0</v>
      </c>
      <c r="O296" s="102"/>
      <c r="P296" s="4"/>
    </row>
    <row r="297" spans="1:16" ht="15" customHeight="1" hidden="1">
      <c r="A297" s="72"/>
      <c r="B297" s="77"/>
      <c r="C297" s="1"/>
      <c r="D297" s="1" t="s">
        <v>15</v>
      </c>
      <c r="E297" s="2">
        <f t="shared" si="134"/>
        <v>0</v>
      </c>
      <c r="F297" s="2">
        <f t="shared" si="134"/>
        <v>0</v>
      </c>
      <c r="G297" s="3"/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f t="shared" si="135"/>
        <v>0</v>
      </c>
      <c r="N297" s="3">
        <v>0</v>
      </c>
      <c r="O297" s="102"/>
      <c r="P297" s="4"/>
    </row>
    <row r="298" spans="1:16" ht="15" customHeight="1" hidden="1">
      <c r="A298" s="72"/>
      <c r="B298" s="77"/>
      <c r="C298" s="1"/>
      <c r="D298" s="1" t="s">
        <v>16</v>
      </c>
      <c r="E298" s="2">
        <f t="shared" si="134"/>
        <v>0</v>
      </c>
      <c r="F298" s="2">
        <f t="shared" si="134"/>
        <v>0</v>
      </c>
      <c r="G298" s="3"/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f t="shared" si="135"/>
        <v>0</v>
      </c>
      <c r="N298" s="3">
        <v>0</v>
      </c>
      <c r="O298" s="102"/>
      <c r="P298" s="4"/>
    </row>
    <row r="299" spans="1:16" ht="15" customHeight="1" hidden="1">
      <c r="A299" s="72"/>
      <c r="B299" s="77"/>
      <c r="C299" s="1"/>
      <c r="D299" s="1" t="s">
        <v>17</v>
      </c>
      <c r="E299" s="2">
        <f t="shared" si="134"/>
        <v>0</v>
      </c>
      <c r="F299" s="2">
        <f t="shared" si="134"/>
        <v>0</v>
      </c>
      <c r="G299" s="3"/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 t="shared" si="135"/>
        <v>0</v>
      </c>
      <c r="N299" s="3">
        <v>0</v>
      </c>
      <c r="O299" s="102"/>
      <c r="P299" s="4"/>
    </row>
    <row r="300" spans="1:16" s="12" customFormat="1" ht="60" customHeight="1">
      <c r="A300" s="72"/>
      <c r="B300" s="77" t="s">
        <v>40</v>
      </c>
      <c r="C300" s="59" t="s">
        <v>58</v>
      </c>
      <c r="D300" s="10" t="s">
        <v>11</v>
      </c>
      <c r="E300" s="2">
        <f>SUM(E301:E306)</f>
        <v>1145</v>
      </c>
      <c r="F300" s="2">
        <f aca="true" t="shared" si="136" ref="F300:N300">SUM(F301:F306)</f>
        <v>445</v>
      </c>
      <c r="G300" s="2">
        <f t="shared" si="136"/>
        <v>930</v>
      </c>
      <c r="H300" s="2">
        <f t="shared" si="136"/>
        <v>430</v>
      </c>
      <c r="I300" s="2">
        <f t="shared" si="136"/>
        <v>100</v>
      </c>
      <c r="J300" s="2">
        <f t="shared" si="136"/>
        <v>0</v>
      </c>
      <c r="K300" s="2">
        <f t="shared" si="136"/>
        <v>100</v>
      </c>
      <c r="L300" s="2">
        <f t="shared" si="136"/>
        <v>0</v>
      </c>
      <c r="M300" s="2">
        <f t="shared" si="136"/>
        <v>15</v>
      </c>
      <c r="N300" s="2">
        <f t="shared" si="136"/>
        <v>15</v>
      </c>
      <c r="O300" s="102"/>
      <c r="P300" s="4"/>
    </row>
    <row r="301" spans="1:16" s="28" customFormat="1" ht="58.5" customHeight="1">
      <c r="A301" s="72"/>
      <c r="B301" s="77"/>
      <c r="C301" s="60"/>
      <c r="D301" s="1" t="s">
        <v>12</v>
      </c>
      <c r="E301" s="2">
        <f>G301+I301+K301+M301</f>
        <v>1145</v>
      </c>
      <c r="F301" s="2">
        <f>H301+J301+L301+N301</f>
        <v>445</v>
      </c>
      <c r="G301" s="3">
        <f>500+H301</f>
        <v>930</v>
      </c>
      <c r="H301" s="3">
        <v>430</v>
      </c>
      <c r="I301" s="3">
        <v>100</v>
      </c>
      <c r="J301" s="3">
        <v>0</v>
      </c>
      <c r="K301" s="3">
        <v>100</v>
      </c>
      <c r="L301" s="3">
        <v>0</v>
      </c>
      <c r="M301" s="3">
        <v>15</v>
      </c>
      <c r="N301" s="3">
        <f>M301</f>
        <v>15</v>
      </c>
      <c r="O301" s="102"/>
      <c r="P301" s="39"/>
    </row>
    <row r="302" spans="1:16" ht="81.75" customHeight="1">
      <c r="A302" s="72"/>
      <c r="B302" s="77"/>
      <c r="C302" s="87"/>
      <c r="D302" s="1" t="s">
        <v>13</v>
      </c>
      <c r="E302" s="61" t="s">
        <v>112</v>
      </c>
      <c r="F302" s="62"/>
      <c r="G302" s="62"/>
      <c r="H302" s="62"/>
      <c r="I302" s="62"/>
      <c r="J302" s="62"/>
      <c r="K302" s="62"/>
      <c r="L302" s="62"/>
      <c r="M302" s="62"/>
      <c r="N302" s="63"/>
      <c r="O302" s="102"/>
      <c r="P302" s="4"/>
    </row>
    <row r="303" spans="1:16" ht="15" customHeight="1" hidden="1">
      <c r="A303" s="72"/>
      <c r="B303" s="77"/>
      <c r="C303" s="1"/>
      <c r="D303" s="1" t="s">
        <v>14</v>
      </c>
      <c r="E303" s="78"/>
      <c r="F303" s="79"/>
      <c r="G303" s="79"/>
      <c r="H303" s="79"/>
      <c r="I303" s="79"/>
      <c r="J303" s="79"/>
      <c r="K303" s="79"/>
      <c r="L303" s="79"/>
      <c r="M303" s="79"/>
      <c r="N303" s="80"/>
      <c r="O303" s="102"/>
      <c r="P303" s="4"/>
    </row>
    <row r="304" spans="1:16" ht="15" customHeight="1" hidden="1">
      <c r="A304" s="72"/>
      <c r="B304" s="77"/>
      <c r="C304" s="1"/>
      <c r="D304" s="1" t="s">
        <v>15</v>
      </c>
      <c r="E304" s="78"/>
      <c r="F304" s="79"/>
      <c r="G304" s="79"/>
      <c r="H304" s="79"/>
      <c r="I304" s="79"/>
      <c r="J304" s="79"/>
      <c r="K304" s="79"/>
      <c r="L304" s="79"/>
      <c r="M304" s="79"/>
      <c r="N304" s="80"/>
      <c r="O304" s="102"/>
      <c r="P304" s="4"/>
    </row>
    <row r="305" spans="1:16" ht="15" customHeight="1" hidden="1">
      <c r="A305" s="72"/>
      <c r="B305" s="77"/>
      <c r="C305" s="1"/>
      <c r="D305" s="1" t="s">
        <v>16</v>
      </c>
      <c r="E305" s="78"/>
      <c r="F305" s="79"/>
      <c r="G305" s="79"/>
      <c r="H305" s="79"/>
      <c r="I305" s="79"/>
      <c r="J305" s="79"/>
      <c r="K305" s="79"/>
      <c r="L305" s="79"/>
      <c r="M305" s="79"/>
      <c r="N305" s="80"/>
      <c r="O305" s="102"/>
      <c r="P305" s="4"/>
    </row>
    <row r="306" spans="1:16" ht="15" customHeight="1" hidden="1">
      <c r="A306" s="72"/>
      <c r="B306" s="77"/>
      <c r="C306" s="1"/>
      <c r="D306" s="1" t="s">
        <v>17</v>
      </c>
      <c r="E306" s="81"/>
      <c r="F306" s="82"/>
      <c r="G306" s="82"/>
      <c r="H306" s="82"/>
      <c r="I306" s="82"/>
      <c r="J306" s="82"/>
      <c r="K306" s="82"/>
      <c r="L306" s="82"/>
      <c r="M306" s="82"/>
      <c r="N306" s="83"/>
      <c r="O306" s="102"/>
      <c r="P306" s="4"/>
    </row>
    <row r="307" spans="1:16" s="12" customFormat="1" ht="15.75">
      <c r="A307" s="72"/>
      <c r="B307" s="77" t="s">
        <v>33</v>
      </c>
      <c r="C307" s="59" t="s">
        <v>58</v>
      </c>
      <c r="D307" s="10" t="s">
        <v>11</v>
      </c>
      <c r="E307" s="2">
        <f>SUM(E308:E313)</f>
        <v>700</v>
      </c>
      <c r="F307" s="2">
        <f aca="true" t="shared" si="137" ref="F307:N307">SUM(F308:F313)</f>
        <v>250</v>
      </c>
      <c r="G307" s="2">
        <f t="shared" si="137"/>
        <v>450</v>
      </c>
      <c r="H307" s="2">
        <f t="shared" si="137"/>
        <v>0</v>
      </c>
      <c r="I307" s="2">
        <f t="shared" si="137"/>
        <v>0</v>
      </c>
      <c r="J307" s="2">
        <f t="shared" si="137"/>
        <v>0</v>
      </c>
      <c r="K307" s="2">
        <f t="shared" si="137"/>
        <v>0</v>
      </c>
      <c r="L307" s="2">
        <f t="shared" si="137"/>
        <v>0</v>
      </c>
      <c r="M307" s="2">
        <f t="shared" si="137"/>
        <v>250</v>
      </c>
      <c r="N307" s="2">
        <f t="shared" si="137"/>
        <v>250</v>
      </c>
      <c r="O307" s="102"/>
      <c r="P307" s="4"/>
    </row>
    <row r="308" spans="1:16" s="28" customFormat="1" ht="15.75">
      <c r="A308" s="72"/>
      <c r="B308" s="77"/>
      <c r="C308" s="60"/>
      <c r="D308" s="1" t="s">
        <v>12</v>
      </c>
      <c r="E308" s="2">
        <f>G308+I308+K308+M308</f>
        <v>700</v>
      </c>
      <c r="F308" s="2">
        <f>H308+J308+L308+N308</f>
        <v>250</v>
      </c>
      <c r="G308" s="3">
        <f>450+H308</f>
        <v>450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250</v>
      </c>
      <c r="N308" s="3">
        <f>M308</f>
        <v>250</v>
      </c>
      <c r="O308" s="102"/>
      <c r="P308" s="39"/>
    </row>
    <row r="309" spans="1:16" ht="24" customHeight="1">
      <c r="A309" s="72"/>
      <c r="B309" s="77"/>
      <c r="C309" s="87"/>
      <c r="D309" s="1" t="s">
        <v>13</v>
      </c>
      <c r="E309" s="61" t="s">
        <v>112</v>
      </c>
      <c r="F309" s="62"/>
      <c r="G309" s="62"/>
      <c r="H309" s="62"/>
      <c r="I309" s="62"/>
      <c r="J309" s="62"/>
      <c r="K309" s="62"/>
      <c r="L309" s="62"/>
      <c r="M309" s="62"/>
      <c r="N309" s="63"/>
      <c r="O309" s="102"/>
      <c r="P309" s="4"/>
    </row>
    <row r="310" spans="1:16" ht="15" customHeight="1" hidden="1">
      <c r="A310" s="72"/>
      <c r="B310" s="77"/>
      <c r="C310" s="1"/>
      <c r="D310" s="1" t="s">
        <v>14</v>
      </c>
      <c r="E310" s="78"/>
      <c r="F310" s="79"/>
      <c r="G310" s="79"/>
      <c r="H310" s="79"/>
      <c r="I310" s="79"/>
      <c r="J310" s="79"/>
      <c r="K310" s="79"/>
      <c r="L310" s="79"/>
      <c r="M310" s="79"/>
      <c r="N310" s="80"/>
      <c r="O310" s="102"/>
      <c r="P310" s="4"/>
    </row>
    <row r="311" spans="1:16" ht="15" customHeight="1" hidden="1">
      <c r="A311" s="72"/>
      <c r="B311" s="77"/>
      <c r="C311" s="1"/>
      <c r="D311" s="1" t="s">
        <v>15</v>
      </c>
      <c r="E311" s="78"/>
      <c r="F311" s="79"/>
      <c r="G311" s="79"/>
      <c r="H311" s="79"/>
      <c r="I311" s="79"/>
      <c r="J311" s="79"/>
      <c r="K311" s="79"/>
      <c r="L311" s="79"/>
      <c r="M311" s="79"/>
      <c r="N311" s="80"/>
      <c r="O311" s="102"/>
      <c r="P311" s="4"/>
    </row>
    <row r="312" spans="1:16" ht="15" customHeight="1" hidden="1">
      <c r="A312" s="72"/>
      <c r="B312" s="77"/>
      <c r="C312" s="1"/>
      <c r="D312" s="1" t="s">
        <v>16</v>
      </c>
      <c r="E312" s="78"/>
      <c r="F312" s="79"/>
      <c r="G312" s="79"/>
      <c r="H312" s="79"/>
      <c r="I312" s="79"/>
      <c r="J312" s="79"/>
      <c r="K312" s="79"/>
      <c r="L312" s="79"/>
      <c r="M312" s="79"/>
      <c r="N312" s="80"/>
      <c r="O312" s="102"/>
      <c r="P312" s="4"/>
    </row>
    <row r="313" spans="1:16" ht="15" customHeight="1" hidden="1">
      <c r="A313" s="72"/>
      <c r="B313" s="77"/>
      <c r="C313" s="1"/>
      <c r="D313" s="1" t="s">
        <v>17</v>
      </c>
      <c r="E313" s="81"/>
      <c r="F313" s="82"/>
      <c r="G313" s="82"/>
      <c r="H313" s="82"/>
      <c r="I313" s="82"/>
      <c r="J313" s="82"/>
      <c r="K313" s="82"/>
      <c r="L313" s="82"/>
      <c r="M313" s="82"/>
      <c r="N313" s="83"/>
      <c r="O313" s="102"/>
      <c r="P313" s="4"/>
    </row>
    <row r="314" spans="1:16" s="12" customFormat="1" ht="15.75">
      <c r="A314" s="72"/>
      <c r="B314" s="77" t="s">
        <v>34</v>
      </c>
      <c r="C314" s="59" t="s">
        <v>58</v>
      </c>
      <c r="D314" s="10" t="s">
        <v>11</v>
      </c>
      <c r="E314" s="2">
        <f>SUM(E315:E320)</f>
        <v>800</v>
      </c>
      <c r="F314" s="2">
        <f aca="true" t="shared" si="138" ref="F314:N314">SUM(F315:F320)</f>
        <v>0</v>
      </c>
      <c r="G314" s="2">
        <f t="shared" si="138"/>
        <v>600</v>
      </c>
      <c r="H314" s="2">
        <f t="shared" si="138"/>
        <v>0</v>
      </c>
      <c r="I314" s="2">
        <f t="shared" si="138"/>
        <v>100</v>
      </c>
      <c r="J314" s="2">
        <f t="shared" si="138"/>
        <v>0</v>
      </c>
      <c r="K314" s="2">
        <f t="shared" si="138"/>
        <v>100</v>
      </c>
      <c r="L314" s="2">
        <f t="shared" si="138"/>
        <v>0</v>
      </c>
      <c r="M314" s="2">
        <f t="shared" si="138"/>
        <v>0</v>
      </c>
      <c r="N314" s="2">
        <f t="shared" si="138"/>
        <v>0</v>
      </c>
      <c r="O314" s="102"/>
      <c r="P314" s="4"/>
    </row>
    <row r="315" spans="1:16" s="28" customFormat="1" ht="15.75">
      <c r="A315" s="72"/>
      <c r="B315" s="77"/>
      <c r="C315" s="60"/>
      <c r="D315" s="1" t="s">
        <v>12</v>
      </c>
      <c r="E315" s="2">
        <f>G315+I315+K315+M315</f>
        <v>800</v>
      </c>
      <c r="F315" s="2">
        <f>H315+J315+L315+N315</f>
        <v>0</v>
      </c>
      <c r="G315" s="3">
        <f>600+H315</f>
        <v>600</v>
      </c>
      <c r="H315" s="3">
        <v>0</v>
      </c>
      <c r="I315" s="3">
        <v>100</v>
      </c>
      <c r="J315" s="3">
        <v>0</v>
      </c>
      <c r="K315" s="3">
        <v>100</v>
      </c>
      <c r="L315" s="3">
        <v>0</v>
      </c>
      <c r="M315" s="3">
        <v>0</v>
      </c>
      <c r="N315" s="3">
        <f>M315</f>
        <v>0</v>
      </c>
      <c r="O315" s="102"/>
      <c r="P315" s="39"/>
    </row>
    <row r="316" spans="1:16" ht="15.75">
      <c r="A316" s="72"/>
      <c r="B316" s="77"/>
      <c r="C316" s="87"/>
      <c r="D316" s="1" t="s">
        <v>13</v>
      </c>
      <c r="E316" s="61" t="s">
        <v>113</v>
      </c>
      <c r="F316" s="62"/>
      <c r="G316" s="62"/>
      <c r="H316" s="62"/>
      <c r="I316" s="62"/>
      <c r="J316" s="62"/>
      <c r="K316" s="62"/>
      <c r="L316" s="62"/>
      <c r="M316" s="62"/>
      <c r="N316" s="63"/>
      <c r="O316" s="102"/>
      <c r="P316" s="4"/>
    </row>
    <row r="317" spans="1:16" ht="15" customHeight="1" hidden="1">
      <c r="A317" s="72"/>
      <c r="B317" s="77"/>
      <c r="C317" s="1"/>
      <c r="D317" s="1" t="s">
        <v>14</v>
      </c>
      <c r="E317" s="78"/>
      <c r="F317" s="79"/>
      <c r="G317" s="79"/>
      <c r="H317" s="79"/>
      <c r="I317" s="79"/>
      <c r="J317" s="79"/>
      <c r="K317" s="79"/>
      <c r="L317" s="79"/>
      <c r="M317" s="79"/>
      <c r="N317" s="80"/>
      <c r="O317" s="102"/>
      <c r="P317" s="4"/>
    </row>
    <row r="318" spans="1:16" ht="15" customHeight="1" hidden="1">
      <c r="A318" s="72"/>
      <c r="B318" s="77"/>
      <c r="C318" s="1"/>
      <c r="D318" s="1" t="s">
        <v>15</v>
      </c>
      <c r="E318" s="78"/>
      <c r="F318" s="79"/>
      <c r="G318" s="79"/>
      <c r="H318" s="79"/>
      <c r="I318" s="79"/>
      <c r="J318" s="79"/>
      <c r="K318" s="79"/>
      <c r="L318" s="79"/>
      <c r="M318" s="79"/>
      <c r="N318" s="80"/>
      <c r="O318" s="102"/>
      <c r="P318" s="4"/>
    </row>
    <row r="319" spans="1:16" ht="15" customHeight="1" hidden="1">
      <c r="A319" s="72"/>
      <c r="B319" s="77"/>
      <c r="C319" s="1"/>
      <c r="D319" s="1" t="s">
        <v>16</v>
      </c>
      <c r="E319" s="78"/>
      <c r="F319" s="79"/>
      <c r="G319" s="79"/>
      <c r="H319" s="79"/>
      <c r="I319" s="79"/>
      <c r="J319" s="79"/>
      <c r="K319" s="79"/>
      <c r="L319" s="79"/>
      <c r="M319" s="79"/>
      <c r="N319" s="80"/>
      <c r="O319" s="102"/>
      <c r="P319" s="4"/>
    </row>
    <row r="320" spans="1:16" ht="15" customHeight="1" hidden="1">
      <c r="A320" s="72"/>
      <c r="B320" s="77"/>
      <c r="C320" s="1"/>
      <c r="D320" s="1" t="s">
        <v>17</v>
      </c>
      <c r="E320" s="81"/>
      <c r="F320" s="82"/>
      <c r="G320" s="82"/>
      <c r="H320" s="82"/>
      <c r="I320" s="82"/>
      <c r="J320" s="82"/>
      <c r="K320" s="82"/>
      <c r="L320" s="82"/>
      <c r="M320" s="82"/>
      <c r="N320" s="83"/>
      <c r="O320" s="102"/>
      <c r="P320" s="4"/>
    </row>
    <row r="321" spans="1:16" s="12" customFormat="1" ht="15.75">
      <c r="A321" s="72"/>
      <c r="B321" s="77" t="s">
        <v>35</v>
      </c>
      <c r="C321" s="59" t="s">
        <v>58</v>
      </c>
      <c r="D321" s="10" t="s">
        <v>11</v>
      </c>
      <c r="E321" s="2">
        <f aca="true" t="shared" si="139" ref="E321:N321">SUM(E322:E327)</f>
        <v>1940</v>
      </c>
      <c r="F321" s="2">
        <f t="shared" si="139"/>
        <v>940</v>
      </c>
      <c r="G321" s="2">
        <f t="shared" si="139"/>
        <v>1690</v>
      </c>
      <c r="H321" s="2">
        <f t="shared" si="139"/>
        <v>890</v>
      </c>
      <c r="I321" s="2">
        <f t="shared" si="139"/>
        <v>0</v>
      </c>
      <c r="J321" s="2">
        <f t="shared" si="139"/>
        <v>0</v>
      </c>
      <c r="K321" s="2">
        <f t="shared" si="139"/>
        <v>200</v>
      </c>
      <c r="L321" s="2">
        <f t="shared" si="139"/>
        <v>0</v>
      </c>
      <c r="M321" s="2">
        <f t="shared" si="139"/>
        <v>50</v>
      </c>
      <c r="N321" s="2">
        <f t="shared" si="139"/>
        <v>50</v>
      </c>
      <c r="O321" s="102"/>
      <c r="P321" s="4"/>
    </row>
    <row r="322" spans="1:16" s="28" customFormat="1" ht="24" customHeight="1">
      <c r="A322" s="72"/>
      <c r="B322" s="77"/>
      <c r="C322" s="60"/>
      <c r="D322" s="1" t="s">
        <v>12</v>
      </c>
      <c r="E322" s="2">
        <f>G322+I322+K322+M322</f>
        <v>1940</v>
      </c>
      <c r="F322" s="2">
        <f>H322+J322+L322+N322</f>
        <v>940</v>
      </c>
      <c r="G322" s="3">
        <f>800+H322</f>
        <v>1690</v>
      </c>
      <c r="H322" s="3">
        <f>890</f>
        <v>890</v>
      </c>
      <c r="I322" s="3">
        <v>0</v>
      </c>
      <c r="J322" s="3">
        <v>0</v>
      </c>
      <c r="K322" s="3">
        <f>200</f>
        <v>200</v>
      </c>
      <c r="L322" s="3">
        <v>0</v>
      </c>
      <c r="M322" s="3">
        <v>50</v>
      </c>
      <c r="N322" s="3">
        <v>50</v>
      </c>
      <c r="O322" s="102"/>
      <c r="P322" s="39"/>
    </row>
    <row r="323" spans="1:16" ht="50.25" customHeight="1">
      <c r="A323" s="72"/>
      <c r="B323" s="77"/>
      <c r="C323" s="87"/>
      <c r="D323" s="1" t="s">
        <v>13</v>
      </c>
      <c r="E323" s="61" t="s">
        <v>113</v>
      </c>
      <c r="F323" s="62"/>
      <c r="G323" s="62"/>
      <c r="H323" s="62"/>
      <c r="I323" s="62"/>
      <c r="J323" s="62"/>
      <c r="K323" s="62"/>
      <c r="L323" s="62"/>
      <c r="M323" s="62"/>
      <c r="N323" s="63"/>
      <c r="O323" s="102"/>
      <c r="P323" s="4"/>
    </row>
    <row r="324" spans="1:16" ht="15" customHeight="1" hidden="1">
      <c r="A324" s="72"/>
      <c r="B324" s="77"/>
      <c r="C324" s="1"/>
      <c r="D324" s="1" t="s">
        <v>14</v>
      </c>
      <c r="E324" s="78"/>
      <c r="F324" s="79"/>
      <c r="G324" s="79"/>
      <c r="H324" s="79"/>
      <c r="I324" s="79"/>
      <c r="J324" s="79"/>
      <c r="K324" s="79"/>
      <c r="L324" s="79"/>
      <c r="M324" s="79"/>
      <c r="N324" s="80"/>
      <c r="O324" s="102"/>
      <c r="P324" s="4"/>
    </row>
    <row r="325" spans="1:16" ht="15" customHeight="1" hidden="1">
      <c r="A325" s="72"/>
      <c r="B325" s="77"/>
      <c r="C325" s="1"/>
      <c r="D325" s="1" t="s">
        <v>15</v>
      </c>
      <c r="E325" s="78"/>
      <c r="F325" s="79"/>
      <c r="G325" s="79"/>
      <c r="H325" s="79"/>
      <c r="I325" s="79"/>
      <c r="J325" s="79"/>
      <c r="K325" s="79"/>
      <c r="L325" s="79"/>
      <c r="M325" s="79"/>
      <c r="N325" s="80"/>
      <c r="O325" s="102"/>
      <c r="P325" s="4"/>
    </row>
    <row r="326" spans="1:16" ht="15" customHeight="1" hidden="1">
      <c r="A326" s="72"/>
      <c r="B326" s="77"/>
      <c r="C326" s="1"/>
      <c r="D326" s="1" t="s">
        <v>16</v>
      </c>
      <c r="E326" s="78"/>
      <c r="F326" s="79"/>
      <c r="G326" s="79"/>
      <c r="H326" s="79"/>
      <c r="I326" s="79"/>
      <c r="J326" s="79"/>
      <c r="K326" s="79"/>
      <c r="L326" s="79"/>
      <c r="M326" s="79"/>
      <c r="N326" s="80"/>
      <c r="O326" s="102"/>
      <c r="P326" s="4"/>
    </row>
    <row r="327" spans="1:16" ht="15" customHeight="1" hidden="1">
      <c r="A327" s="72"/>
      <c r="B327" s="77"/>
      <c r="C327" s="1"/>
      <c r="D327" s="1" t="s">
        <v>17</v>
      </c>
      <c r="E327" s="81"/>
      <c r="F327" s="82"/>
      <c r="G327" s="82"/>
      <c r="H327" s="82"/>
      <c r="I327" s="82"/>
      <c r="J327" s="82"/>
      <c r="K327" s="82"/>
      <c r="L327" s="82"/>
      <c r="M327" s="82"/>
      <c r="N327" s="83"/>
      <c r="O327" s="102"/>
      <c r="P327" s="4"/>
    </row>
    <row r="328" spans="1:16" s="12" customFormat="1" ht="15.75">
      <c r="A328" s="72"/>
      <c r="B328" s="86" t="s">
        <v>38</v>
      </c>
      <c r="C328" s="21"/>
      <c r="D328" s="10" t="s">
        <v>11</v>
      </c>
      <c r="E328" s="2">
        <f>SUM(E329:E339)</f>
        <v>4659.4</v>
      </c>
      <c r="F328" s="2">
        <f aca="true" t="shared" si="140" ref="F328:N328">SUM(F329:F339)</f>
        <v>2132.6</v>
      </c>
      <c r="G328" s="2">
        <f t="shared" si="140"/>
        <v>4611.4</v>
      </c>
      <c r="H328" s="2">
        <f t="shared" si="140"/>
        <v>2084.6</v>
      </c>
      <c r="I328" s="2">
        <f t="shared" si="140"/>
        <v>0</v>
      </c>
      <c r="J328" s="2">
        <f t="shared" si="140"/>
        <v>0</v>
      </c>
      <c r="K328" s="2">
        <f t="shared" si="140"/>
        <v>0</v>
      </c>
      <c r="L328" s="2">
        <f t="shared" si="140"/>
        <v>0</v>
      </c>
      <c r="M328" s="2">
        <f t="shared" si="140"/>
        <v>48</v>
      </c>
      <c r="N328" s="2">
        <f t="shared" si="140"/>
        <v>48</v>
      </c>
      <c r="O328" s="102"/>
      <c r="P328" s="4"/>
    </row>
    <row r="329" spans="1:16" s="28" customFormat="1" ht="25.5">
      <c r="A329" s="72"/>
      <c r="B329" s="86"/>
      <c r="C329" s="17" t="s">
        <v>71</v>
      </c>
      <c r="D329" s="1" t="s">
        <v>12</v>
      </c>
      <c r="E329" s="2">
        <f aca="true" t="shared" si="141" ref="E329:F333">G329+I329+K329+M329</f>
        <v>362.1</v>
      </c>
      <c r="F329" s="2">
        <f t="shared" si="141"/>
        <v>248</v>
      </c>
      <c r="G329" s="3">
        <v>314.1</v>
      </c>
      <c r="H329" s="3">
        <v>200</v>
      </c>
      <c r="I329" s="3"/>
      <c r="J329" s="3">
        <v>0</v>
      </c>
      <c r="K329" s="3">
        <v>0</v>
      </c>
      <c r="L329" s="3">
        <v>0</v>
      </c>
      <c r="M329" s="3">
        <v>48</v>
      </c>
      <c r="N329" s="3">
        <f>M329</f>
        <v>48</v>
      </c>
      <c r="O329" s="102"/>
      <c r="P329" s="39"/>
    </row>
    <row r="330" spans="1:16" ht="25.5" customHeight="1">
      <c r="A330" s="72"/>
      <c r="B330" s="86"/>
      <c r="C330" s="53" t="s">
        <v>57</v>
      </c>
      <c r="D330" s="1" t="s">
        <v>13</v>
      </c>
      <c r="E330" s="2">
        <f t="shared" si="141"/>
        <v>1470.4</v>
      </c>
      <c r="F330" s="2">
        <f t="shared" si="141"/>
        <v>314.1</v>
      </c>
      <c r="G330" s="3">
        <f>314.1+1156.3</f>
        <v>1470.4</v>
      </c>
      <c r="H330" s="3">
        <v>314.1</v>
      </c>
      <c r="I330" s="3">
        <v>0</v>
      </c>
      <c r="J330" s="3">
        <v>0</v>
      </c>
      <c r="K330" s="3">
        <f>1.2*K329</f>
        <v>0</v>
      </c>
      <c r="L330" s="3">
        <v>0</v>
      </c>
      <c r="M330" s="3">
        <v>0</v>
      </c>
      <c r="N330" s="3">
        <v>0</v>
      </c>
      <c r="O330" s="102"/>
      <c r="P330" s="39"/>
    </row>
    <row r="331" spans="1:16" ht="15" customHeight="1">
      <c r="A331" s="72"/>
      <c r="B331" s="86"/>
      <c r="C331" s="53"/>
      <c r="D331" s="1" t="s">
        <v>14</v>
      </c>
      <c r="E331" s="2">
        <f t="shared" si="141"/>
        <v>314.1</v>
      </c>
      <c r="F331" s="2">
        <f t="shared" si="141"/>
        <v>314.1</v>
      </c>
      <c r="G331" s="3">
        <f>H331</f>
        <v>314.1</v>
      </c>
      <c r="H331" s="3">
        <v>314.1</v>
      </c>
      <c r="I331" s="3">
        <v>0</v>
      </c>
      <c r="J331" s="3">
        <v>0</v>
      </c>
      <c r="K331" s="3">
        <f>1.2*K330</f>
        <v>0</v>
      </c>
      <c r="L331" s="3">
        <v>0</v>
      </c>
      <c r="M331" s="3">
        <v>0</v>
      </c>
      <c r="N331" s="3">
        <v>0</v>
      </c>
      <c r="O331" s="102"/>
      <c r="P331" s="4"/>
    </row>
    <row r="332" spans="1:16" ht="15.75">
      <c r="A332" s="72"/>
      <c r="B332" s="86"/>
      <c r="C332" s="53"/>
      <c r="D332" s="1" t="s">
        <v>15</v>
      </c>
      <c r="E332" s="2">
        <f t="shared" si="141"/>
        <v>314.1</v>
      </c>
      <c r="F332" s="2">
        <f t="shared" si="141"/>
        <v>0</v>
      </c>
      <c r="G332" s="3">
        <f aca="true" t="shared" si="142" ref="G332:G339">G331</f>
        <v>314.1</v>
      </c>
      <c r="H332" s="3">
        <f>314.1-314.1</f>
        <v>0</v>
      </c>
      <c r="I332" s="3">
        <v>0</v>
      </c>
      <c r="J332" s="3">
        <v>0</v>
      </c>
      <c r="K332" s="3">
        <f>1.2*K331</f>
        <v>0</v>
      </c>
      <c r="L332" s="3">
        <v>0</v>
      </c>
      <c r="M332" s="3">
        <v>0</v>
      </c>
      <c r="N332" s="3">
        <v>0</v>
      </c>
      <c r="O332" s="102"/>
      <c r="P332" s="4"/>
    </row>
    <row r="333" spans="1:16" ht="15.75">
      <c r="A333" s="72"/>
      <c r="B333" s="86"/>
      <c r="C333" s="53"/>
      <c r="D333" s="1" t="s">
        <v>16</v>
      </c>
      <c r="E333" s="2">
        <f t="shared" si="141"/>
        <v>314.1</v>
      </c>
      <c r="F333" s="2">
        <f t="shared" si="141"/>
        <v>314.1</v>
      </c>
      <c r="G333" s="3">
        <f t="shared" si="142"/>
        <v>314.1</v>
      </c>
      <c r="H333" s="3">
        <v>314.1</v>
      </c>
      <c r="I333" s="3">
        <v>0</v>
      </c>
      <c r="J333" s="3">
        <v>0</v>
      </c>
      <c r="K333" s="3">
        <f>1.2*K332</f>
        <v>0</v>
      </c>
      <c r="L333" s="3">
        <v>0</v>
      </c>
      <c r="M333" s="3">
        <v>0</v>
      </c>
      <c r="N333" s="3">
        <v>0</v>
      </c>
      <c r="O333" s="102"/>
      <c r="P333" s="4"/>
    </row>
    <row r="334" spans="1:16" ht="15.75">
      <c r="A334" s="72"/>
      <c r="B334" s="86"/>
      <c r="C334" s="53"/>
      <c r="D334" s="1" t="s">
        <v>17</v>
      </c>
      <c r="E334" s="2">
        <f aca="true" t="shared" si="143" ref="E334:F339">G334+I334+K334+M334</f>
        <v>314.1</v>
      </c>
      <c r="F334" s="2">
        <f t="shared" si="143"/>
        <v>314.1</v>
      </c>
      <c r="G334" s="3">
        <f t="shared" si="142"/>
        <v>314.1</v>
      </c>
      <c r="H334" s="3">
        <v>314.1</v>
      </c>
      <c r="I334" s="3">
        <v>0</v>
      </c>
      <c r="J334" s="3">
        <v>0</v>
      </c>
      <c r="K334" s="3">
        <f>1.2*K333</f>
        <v>0</v>
      </c>
      <c r="L334" s="3">
        <v>0</v>
      </c>
      <c r="M334" s="3">
        <v>0</v>
      </c>
      <c r="N334" s="3">
        <v>0</v>
      </c>
      <c r="O334" s="102"/>
      <c r="P334" s="4"/>
    </row>
    <row r="335" spans="1:16" ht="15.75">
      <c r="A335" s="72"/>
      <c r="B335" s="86"/>
      <c r="C335" s="53"/>
      <c r="D335" s="1" t="s">
        <v>99</v>
      </c>
      <c r="E335" s="2">
        <f t="shared" si="143"/>
        <v>314.1</v>
      </c>
      <c r="F335" s="2">
        <f t="shared" si="143"/>
        <v>314.1</v>
      </c>
      <c r="G335" s="3">
        <f t="shared" si="142"/>
        <v>314.1</v>
      </c>
      <c r="H335" s="3">
        <f>H334</f>
        <v>314.1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102"/>
      <c r="P335" s="4"/>
    </row>
    <row r="336" spans="1:16" ht="15.75">
      <c r="A336" s="72"/>
      <c r="B336" s="86"/>
      <c r="C336" s="53"/>
      <c r="D336" s="1" t="s">
        <v>100</v>
      </c>
      <c r="E336" s="2">
        <f t="shared" si="143"/>
        <v>314.1</v>
      </c>
      <c r="F336" s="2">
        <f t="shared" si="143"/>
        <v>314.1</v>
      </c>
      <c r="G336" s="3">
        <f t="shared" si="142"/>
        <v>314.1</v>
      </c>
      <c r="H336" s="3">
        <v>314.1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02"/>
      <c r="P336" s="4"/>
    </row>
    <row r="337" spans="1:16" ht="15.75">
      <c r="A337" s="72"/>
      <c r="B337" s="86"/>
      <c r="C337" s="53"/>
      <c r="D337" s="1" t="s">
        <v>101</v>
      </c>
      <c r="E337" s="2">
        <f t="shared" si="143"/>
        <v>314.1</v>
      </c>
      <c r="F337" s="2">
        <f t="shared" si="143"/>
        <v>0</v>
      </c>
      <c r="G337" s="3">
        <f t="shared" si="142"/>
        <v>314.1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02"/>
      <c r="P337" s="4"/>
    </row>
    <row r="338" spans="1:16" ht="15.75">
      <c r="A338" s="72"/>
      <c r="B338" s="86"/>
      <c r="C338" s="53"/>
      <c r="D338" s="1" t="s">
        <v>102</v>
      </c>
      <c r="E338" s="2">
        <f t="shared" si="143"/>
        <v>314.1</v>
      </c>
      <c r="F338" s="2">
        <f t="shared" si="143"/>
        <v>0</v>
      </c>
      <c r="G338" s="3">
        <f t="shared" si="142"/>
        <v>314.1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02"/>
      <c r="P338" s="4"/>
    </row>
    <row r="339" spans="1:16" ht="15.75">
      <c r="A339" s="73"/>
      <c r="B339" s="86"/>
      <c r="C339" s="54"/>
      <c r="D339" s="1" t="s">
        <v>103</v>
      </c>
      <c r="E339" s="2">
        <f t="shared" si="143"/>
        <v>314.1</v>
      </c>
      <c r="F339" s="2">
        <f t="shared" si="143"/>
        <v>0</v>
      </c>
      <c r="G339" s="3">
        <f t="shared" si="142"/>
        <v>314.1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102"/>
      <c r="P339" s="4"/>
    </row>
    <row r="340" spans="1:16" s="12" customFormat="1" ht="15.75" customHeight="1">
      <c r="A340" s="71"/>
      <c r="B340" s="84" t="s">
        <v>94</v>
      </c>
      <c r="C340" s="71"/>
      <c r="D340" s="10" t="s">
        <v>11</v>
      </c>
      <c r="E340" s="2">
        <f>SUM(E341:E351)</f>
        <v>22244.1</v>
      </c>
      <c r="F340" s="2">
        <f aca="true" t="shared" si="144" ref="F340:N340">SUM(F341:F351)</f>
        <v>10846.1</v>
      </c>
      <c r="G340" s="2">
        <f t="shared" si="144"/>
        <v>22244.1</v>
      </c>
      <c r="H340" s="2">
        <f t="shared" si="144"/>
        <v>10846.1</v>
      </c>
      <c r="I340" s="2">
        <f t="shared" si="144"/>
        <v>0</v>
      </c>
      <c r="J340" s="2">
        <f t="shared" si="144"/>
        <v>0</v>
      </c>
      <c r="K340" s="2">
        <f t="shared" si="144"/>
        <v>0</v>
      </c>
      <c r="L340" s="2">
        <f t="shared" si="144"/>
        <v>0</v>
      </c>
      <c r="M340" s="2">
        <f t="shared" si="144"/>
        <v>0</v>
      </c>
      <c r="N340" s="2">
        <f t="shared" si="144"/>
        <v>0</v>
      </c>
      <c r="O340" s="102" t="s">
        <v>89</v>
      </c>
      <c r="P340" s="4"/>
    </row>
    <row r="341" spans="1:16" s="28" customFormat="1" ht="15.75">
      <c r="A341" s="72"/>
      <c r="B341" s="84"/>
      <c r="C341" s="72"/>
      <c r="D341" s="1" t="s">
        <v>12</v>
      </c>
      <c r="E341" s="2">
        <f aca="true" t="shared" si="145" ref="E341:E351">G341+I341+K341+M341</f>
        <v>0</v>
      </c>
      <c r="F341" s="2">
        <f aca="true" t="shared" si="146" ref="F341:F351">H341+J341+L341+N341</f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02"/>
      <c r="P341" s="39"/>
    </row>
    <row r="342" spans="1:16" ht="15.75">
      <c r="A342" s="72"/>
      <c r="B342" s="84"/>
      <c r="C342" s="72"/>
      <c r="D342" s="1" t="s">
        <v>13</v>
      </c>
      <c r="E342" s="2">
        <f t="shared" si="145"/>
        <v>0</v>
      </c>
      <c r="F342" s="2">
        <f t="shared" si="146"/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02"/>
      <c r="P342" s="4"/>
    </row>
    <row r="343" spans="1:16" ht="15" customHeight="1">
      <c r="A343" s="72"/>
      <c r="B343" s="84"/>
      <c r="C343" s="73"/>
      <c r="D343" s="1" t="s">
        <v>14</v>
      </c>
      <c r="E343" s="2">
        <f t="shared" si="145"/>
        <v>0</v>
      </c>
      <c r="F343" s="2">
        <f t="shared" si="146"/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02"/>
      <c r="P343" s="4"/>
    </row>
    <row r="344" spans="1:16" ht="15.75">
      <c r="A344" s="72"/>
      <c r="B344" s="84"/>
      <c r="C344" s="74" t="s">
        <v>84</v>
      </c>
      <c r="D344" s="1" t="s">
        <v>15</v>
      </c>
      <c r="E344" s="2">
        <f t="shared" si="145"/>
        <v>2297.6</v>
      </c>
      <c r="F344" s="2">
        <f t="shared" si="146"/>
        <v>2297.6</v>
      </c>
      <c r="G344" s="3">
        <v>2297.6</v>
      </c>
      <c r="H344" s="3">
        <f>G344</f>
        <v>2297.6</v>
      </c>
      <c r="I344" s="3">
        <v>0</v>
      </c>
      <c r="J344" s="3">
        <v>0</v>
      </c>
      <c r="K344" s="3">
        <f>K343</f>
        <v>0</v>
      </c>
      <c r="L344" s="3">
        <v>0</v>
      </c>
      <c r="M344" s="3">
        <v>0</v>
      </c>
      <c r="N344" s="3">
        <v>0</v>
      </c>
      <c r="O344" s="102"/>
      <c r="P344" s="4"/>
    </row>
    <row r="345" spans="1:16" ht="15.75">
      <c r="A345" s="72"/>
      <c r="B345" s="84"/>
      <c r="C345" s="74"/>
      <c r="D345" s="1" t="s">
        <v>16</v>
      </c>
      <c r="E345" s="2">
        <f t="shared" si="145"/>
        <v>2849.5</v>
      </c>
      <c r="F345" s="2">
        <f t="shared" si="146"/>
        <v>2849.5</v>
      </c>
      <c r="G345" s="3">
        <f>H345</f>
        <v>2849.5</v>
      </c>
      <c r="H345" s="3">
        <v>2849.5</v>
      </c>
      <c r="I345" s="3">
        <v>0</v>
      </c>
      <c r="J345" s="3">
        <v>0</v>
      </c>
      <c r="K345" s="3">
        <f>K344</f>
        <v>0</v>
      </c>
      <c r="L345" s="3">
        <v>0</v>
      </c>
      <c r="M345" s="3">
        <v>0</v>
      </c>
      <c r="N345" s="3">
        <v>0</v>
      </c>
      <c r="O345" s="102"/>
      <c r="P345" s="4"/>
    </row>
    <row r="346" spans="1:16" ht="15.75">
      <c r="A346" s="72"/>
      <c r="B346" s="84"/>
      <c r="C346" s="74"/>
      <c r="D346" s="1" t="s">
        <v>17</v>
      </c>
      <c r="E346" s="2">
        <f t="shared" si="145"/>
        <v>2849.5</v>
      </c>
      <c r="F346" s="2">
        <f t="shared" si="146"/>
        <v>2849.5</v>
      </c>
      <c r="G346" s="3">
        <f aca="true" t="shared" si="147" ref="G346:G351">G345</f>
        <v>2849.5</v>
      </c>
      <c r="H346" s="3">
        <v>2849.5</v>
      </c>
      <c r="I346" s="3">
        <v>0</v>
      </c>
      <c r="J346" s="3">
        <v>0</v>
      </c>
      <c r="K346" s="3">
        <f>K345</f>
        <v>0</v>
      </c>
      <c r="L346" s="3">
        <v>0</v>
      </c>
      <c r="M346" s="3">
        <v>0</v>
      </c>
      <c r="N346" s="3">
        <v>0</v>
      </c>
      <c r="O346" s="102"/>
      <c r="P346" s="4"/>
    </row>
    <row r="347" spans="1:16" ht="15.75">
      <c r="A347" s="72"/>
      <c r="B347" s="84"/>
      <c r="C347" s="74"/>
      <c r="D347" s="1" t="s">
        <v>99</v>
      </c>
      <c r="E347" s="2">
        <f t="shared" si="145"/>
        <v>2849.5</v>
      </c>
      <c r="F347" s="2">
        <f t="shared" si="146"/>
        <v>2849.5</v>
      </c>
      <c r="G347" s="3">
        <f t="shared" si="147"/>
        <v>2849.5</v>
      </c>
      <c r="H347" s="3">
        <v>2849.5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02"/>
      <c r="P347" s="4"/>
    </row>
    <row r="348" spans="1:16" ht="15.75">
      <c r="A348" s="72"/>
      <c r="B348" s="84"/>
      <c r="C348" s="74"/>
      <c r="D348" s="1" t="s">
        <v>100</v>
      </c>
      <c r="E348" s="2">
        <f t="shared" si="145"/>
        <v>2849.5</v>
      </c>
      <c r="F348" s="2">
        <f t="shared" si="146"/>
        <v>0</v>
      </c>
      <c r="G348" s="3">
        <f t="shared" si="147"/>
        <v>2849.5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02"/>
      <c r="P348" s="4"/>
    </row>
    <row r="349" spans="1:16" ht="15.75">
      <c r="A349" s="72"/>
      <c r="B349" s="84"/>
      <c r="C349" s="74"/>
      <c r="D349" s="1" t="s">
        <v>101</v>
      </c>
      <c r="E349" s="2">
        <f t="shared" si="145"/>
        <v>2849.5</v>
      </c>
      <c r="F349" s="2">
        <f t="shared" si="146"/>
        <v>0</v>
      </c>
      <c r="G349" s="3">
        <f t="shared" si="147"/>
        <v>2849.5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02"/>
      <c r="P349" s="4"/>
    </row>
    <row r="350" spans="1:16" ht="15.75">
      <c r="A350" s="72"/>
      <c r="B350" s="84"/>
      <c r="C350" s="74"/>
      <c r="D350" s="1" t="s">
        <v>102</v>
      </c>
      <c r="E350" s="2">
        <f t="shared" si="145"/>
        <v>2849.5</v>
      </c>
      <c r="F350" s="2">
        <f t="shared" si="146"/>
        <v>0</v>
      </c>
      <c r="G350" s="3">
        <f t="shared" si="147"/>
        <v>2849.5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02"/>
      <c r="P350" s="4"/>
    </row>
    <row r="351" spans="1:16" ht="15.75">
      <c r="A351" s="73"/>
      <c r="B351" s="85"/>
      <c r="C351" s="74"/>
      <c r="D351" s="1" t="s">
        <v>103</v>
      </c>
      <c r="E351" s="2">
        <f t="shared" si="145"/>
        <v>2849.5</v>
      </c>
      <c r="F351" s="2">
        <f t="shared" si="146"/>
        <v>0</v>
      </c>
      <c r="G351" s="3">
        <f t="shared" si="147"/>
        <v>2849.5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02"/>
      <c r="P351" s="4"/>
    </row>
    <row r="352" spans="1:16" s="12" customFormat="1" ht="15.75" customHeight="1">
      <c r="A352" s="71"/>
      <c r="B352" s="84" t="s">
        <v>95</v>
      </c>
      <c r="C352" s="71"/>
      <c r="D352" s="10" t="s">
        <v>11</v>
      </c>
      <c r="E352" s="2">
        <f>SUM(E353:E363)</f>
        <v>16114.700000000003</v>
      </c>
      <c r="F352" s="2">
        <f aca="true" t="shared" si="148" ref="F352:N352">SUM(F353:F363)</f>
        <v>8047.9</v>
      </c>
      <c r="G352" s="2">
        <f>SUM(G353:G363)</f>
        <v>16114.700000000003</v>
      </c>
      <c r="H352" s="2">
        <f t="shared" si="148"/>
        <v>8047.9</v>
      </c>
      <c r="I352" s="2">
        <f t="shared" si="148"/>
        <v>0</v>
      </c>
      <c r="J352" s="2">
        <f t="shared" si="148"/>
        <v>0</v>
      </c>
      <c r="K352" s="2">
        <f t="shared" si="148"/>
        <v>0</v>
      </c>
      <c r="L352" s="2">
        <f t="shared" si="148"/>
        <v>0</v>
      </c>
      <c r="M352" s="2">
        <f t="shared" si="148"/>
        <v>0</v>
      </c>
      <c r="N352" s="2">
        <f t="shared" si="148"/>
        <v>0</v>
      </c>
      <c r="O352" s="102" t="s">
        <v>90</v>
      </c>
      <c r="P352" s="4"/>
    </row>
    <row r="353" spans="1:16" s="28" customFormat="1" ht="15.75">
      <c r="A353" s="72"/>
      <c r="B353" s="84"/>
      <c r="C353" s="72"/>
      <c r="D353" s="1" t="s">
        <v>12</v>
      </c>
      <c r="E353" s="2">
        <f aca="true" t="shared" si="149" ref="E353:E363">G353+I353+K353+M353</f>
        <v>0</v>
      </c>
      <c r="F353" s="2">
        <f aca="true" t="shared" si="150" ref="F353:F363">H353+J353+L353+N353</f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02"/>
      <c r="P353" s="39"/>
    </row>
    <row r="354" spans="1:16" ht="15.75">
      <c r="A354" s="72"/>
      <c r="B354" s="84"/>
      <c r="C354" s="72"/>
      <c r="D354" s="1" t="s">
        <v>13</v>
      </c>
      <c r="E354" s="2">
        <f t="shared" si="149"/>
        <v>0</v>
      </c>
      <c r="F354" s="2">
        <f t="shared" si="150"/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02"/>
      <c r="P354" s="4"/>
    </row>
    <row r="355" spans="1:16" ht="15" customHeight="1">
      <c r="A355" s="72"/>
      <c r="B355" s="84"/>
      <c r="C355" s="73"/>
      <c r="D355" s="1" t="s">
        <v>14</v>
      </c>
      <c r="E355" s="2">
        <f t="shared" si="149"/>
        <v>0</v>
      </c>
      <c r="F355" s="2">
        <f t="shared" si="150"/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02"/>
      <c r="P355" s="4"/>
    </row>
    <row r="356" spans="1:16" ht="15.75">
      <c r="A356" s="72"/>
      <c r="B356" s="84"/>
      <c r="C356" s="74" t="s">
        <v>84</v>
      </c>
      <c r="D356" s="1" t="s">
        <v>15</v>
      </c>
      <c r="E356" s="2">
        <f t="shared" si="149"/>
        <v>1997.8</v>
      </c>
      <c r="F356" s="2">
        <f t="shared" si="150"/>
        <v>1997.8</v>
      </c>
      <c r="G356" s="3">
        <v>1997.8</v>
      </c>
      <c r="H356" s="3">
        <f>G356</f>
        <v>1997.8</v>
      </c>
      <c r="I356" s="3">
        <v>0</v>
      </c>
      <c r="J356" s="3">
        <v>0</v>
      </c>
      <c r="K356" s="3">
        <f>K355</f>
        <v>0</v>
      </c>
      <c r="L356" s="3">
        <v>0</v>
      </c>
      <c r="M356" s="3">
        <v>0</v>
      </c>
      <c r="N356" s="3">
        <v>0</v>
      </c>
      <c r="O356" s="102"/>
      <c r="P356" s="4"/>
    </row>
    <row r="357" spans="1:16" ht="15.75">
      <c r="A357" s="72"/>
      <c r="B357" s="84"/>
      <c r="C357" s="74"/>
      <c r="D357" s="1" t="s">
        <v>16</v>
      </c>
      <c r="E357" s="2">
        <f t="shared" si="149"/>
        <v>2016.7</v>
      </c>
      <c r="F357" s="2">
        <f t="shared" si="150"/>
        <v>2016.7</v>
      </c>
      <c r="G357" s="3">
        <f>H357</f>
        <v>2016.7</v>
      </c>
      <c r="H357" s="3">
        <v>2016.7</v>
      </c>
      <c r="I357" s="3">
        <v>0</v>
      </c>
      <c r="J357" s="3">
        <v>0</v>
      </c>
      <c r="K357" s="3">
        <f>K356</f>
        <v>0</v>
      </c>
      <c r="L357" s="3">
        <v>0</v>
      </c>
      <c r="M357" s="3">
        <v>0</v>
      </c>
      <c r="N357" s="3">
        <v>0</v>
      </c>
      <c r="O357" s="102"/>
      <c r="P357" s="4"/>
    </row>
    <row r="358" spans="1:16" ht="15.75">
      <c r="A358" s="72"/>
      <c r="B358" s="84"/>
      <c r="C358" s="74"/>
      <c r="D358" s="1" t="s">
        <v>17</v>
      </c>
      <c r="E358" s="2">
        <f t="shared" si="149"/>
        <v>2016.7</v>
      </c>
      <c r="F358" s="2">
        <f t="shared" si="150"/>
        <v>2016.7</v>
      </c>
      <c r="G358" s="3">
        <f>H358</f>
        <v>2016.7</v>
      </c>
      <c r="H358" s="3">
        <v>2016.7</v>
      </c>
      <c r="I358" s="3">
        <v>0</v>
      </c>
      <c r="J358" s="3">
        <v>0</v>
      </c>
      <c r="K358" s="3">
        <f>K357</f>
        <v>0</v>
      </c>
      <c r="L358" s="3">
        <v>0</v>
      </c>
      <c r="M358" s="3">
        <v>0</v>
      </c>
      <c r="N358" s="3">
        <v>0</v>
      </c>
      <c r="O358" s="102"/>
      <c r="P358" s="4"/>
    </row>
    <row r="359" spans="1:16" ht="15.75">
      <c r="A359" s="72"/>
      <c r="B359" s="84"/>
      <c r="C359" s="74"/>
      <c r="D359" s="1" t="s">
        <v>99</v>
      </c>
      <c r="E359" s="2">
        <f t="shared" si="149"/>
        <v>2016.7</v>
      </c>
      <c r="F359" s="2">
        <f t="shared" si="150"/>
        <v>2016.7</v>
      </c>
      <c r="G359" s="3">
        <f>H359</f>
        <v>2016.7</v>
      </c>
      <c r="H359" s="3">
        <v>2016.7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02"/>
      <c r="P359" s="4"/>
    </row>
    <row r="360" spans="1:16" ht="15.75">
      <c r="A360" s="72"/>
      <c r="B360" s="84"/>
      <c r="C360" s="74"/>
      <c r="D360" s="1" t="s">
        <v>100</v>
      </c>
      <c r="E360" s="2">
        <f t="shared" si="149"/>
        <v>2016.7</v>
      </c>
      <c r="F360" s="2">
        <f t="shared" si="150"/>
        <v>0</v>
      </c>
      <c r="G360" s="3">
        <f>G359</f>
        <v>2016.7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02"/>
      <c r="P360" s="4"/>
    </row>
    <row r="361" spans="1:16" ht="15.75">
      <c r="A361" s="72"/>
      <c r="B361" s="84"/>
      <c r="C361" s="74"/>
      <c r="D361" s="1" t="s">
        <v>101</v>
      </c>
      <c r="E361" s="2">
        <f t="shared" si="149"/>
        <v>2016.7</v>
      </c>
      <c r="F361" s="2">
        <f t="shared" si="150"/>
        <v>0</v>
      </c>
      <c r="G361" s="3">
        <f>G360</f>
        <v>2016.7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02"/>
      <c r="P361" s="4"/>
    </row>
    <row r="362" spans="1:16" ht="15.75">
      <c r="A362" s="72"/>
      <c r="B362" s="84"/>
      <c r="C362" s="74"/>
      <c r="D362" s="1" t="s">
        <v>102</v>
      </c>
      <c r="E362" s="2">
        <f t="shared" si="149"/>
        <v>2016.7</v>
      </c>
      <c r="F362" s="2">
        <f t="shared" si="150"/>
        <v>0</v>
      </c>
      <c r="G362" s="3">
        <f>G361</f>
        <v>2016.7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02"/>
      <c r="P362" s="4"/>
    </row>
    <row r="363" spans="1:16" ht="15.75">
      <c r="A363" s="73"/>
      <c r="B363" s="85"/>
      <c r="C363" s="74"/>
      <c r="D363" s="1" t="s">
        <v>103</v>
      </c>
      <c r="E363" s="2">
        <f t="shared" si="149"/>
        <v>2016.7</v>
      </c>
      <c r="F363" s="2">
        <f t="shared" si="150"/>
        <v>0</v>
      </c>
      <c r="G363" s="3">
        <f>G362</f>
        <v>2016.7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02"/>
      <c r="P363" s="4"/>
    </row>
    <row r="364" spans="1:16" s="12" customFormat="1" ht="15.75" customHeight="1">
      <c r="A364" s="71"/>
      <c r="B364" s="84" t="s">
        <v>96</v>
      </c>
      <c r="C364" s="71"/>
      <c r="D364" s="10" t="s">
        <v>11</v>
      </c>
      <c r="E364" s="2">
        <f>SUM(E365:E375)</f>
        <v>16829.3</v>
      </c>
      <c r="F364" s="2">
        <f aca="true" t="shared" si="151" ref="F364:N364">SUM(F365:F375)</f>
        <v>8629.3</v>
      </c>
      <c r="G364" s="2">
        <f t="shared" si="151"/>
        <v>16829.3</v>
      </c>
      <c r="H364" s="2">
        <f t="shared" si="151"/>
        <v>8629.3</v>
      </c>
      <c r="I364" s="2">
        <f t="shared" si="151"/>
        <v>0</v>
      </c>
      <c r="J364" s="2">
        <f t="shared" si="151"/>
        <v>0</v>
      </c>
      <c r="K364" s="2">
        <f t="shared" si="151"/>
        <v>0</v>
      </c>
      <c r="L364" s="2">
        <f t="shared" si="151"/>
        <v>0</v>
      </c>
      <c r="M364" s="2">
        <f t="shared" si="151"/>
        <v>0</v>
      </c>
      <c r="N364" s="2">
        <f t="shared" si="151"/>
        <v>0</v>
      </c>
      <c r="O364" s="102" t="s">
        <v>91</v>
      </c>
      <c r="P364" s="4"/>
    </row>
    <row r="365" spans="1:16" s="28" customFormat="1" ht="15.75">
      <c r="A365" s="72"/>
      <c r="B365" s="84"/>
      <c r="C365" s="72"/>
      <c r="D365" s="1" t="s">
        <v>12</v>
      </c>
      <c r="E365" s="2">
        <f aca="true" t="shared" si="152" ref="E365:E375">G365+I365+K365+M365</f>
        <v>0</v>
      </c>
      <c r="F365" s="2">
        <f aca="true" t="shared" si="153" ref="F365:F375">H365+J365+L365+N365</f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02"/>
      <c r="P365" s="39"/>
    </row>
    <row r="366" spans="1:16" ht="15.75">
      <c r="A366" s="72"/>
      <c r="B366" s="84"/>
      <c r="C366" s="72"/>
      <c r="D366" s="1" t="s">
        <v>13</v>
      </c>
      <c r="E366" s="2">
        <f t="shared" si="152"/>
        <v>0</v>
      </c>
      <c r="F366" s="2">
        <f t="shared" si="153"/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102"/>
      <c r="P366" s="4"/>
    </row>
    <row r="367" spans="1:16" ht="15" customHeight="1">
      <c r="A367" s="72"/>
      <c r="B367" s="84"/>
      <c r="C367" s="73"/>
      <c r="D367" s="1" t="s">
        <v>14</v>
      </c>
      <c r="E367" s="2">
        <f t="shared" si="152"/>
        <v>0</v>
      </c>
      <c r="F367" s="2">
        <f t="shared" si="153"/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02"/>
      <c r="P367" s="4"/>
    </row>
    <row r="368" spans="1:16" ht="15.75">
      <c r="A368" s="72"/>
      <c r="B368" s="84"/>
      <c r="C368" s="74" t="s">
        <v>84</v>
      </c>
      <c r="D368" s="1" t="s">
        <v>15</v>
      </c>
      <c r="E368" s="2">
        <f t="shared" si="152"/>
        <v>2479.3</v>
      </c>
      <c r="F368" s="2">
        <f t="shared" si="153"/>
        <v>2479.3</v>
      </c>
      <c r="G368" s="3">
        <v>2479.3</v>
      </c>
      <c r="H368" s="3">
        <f>G368</f>
        <v>2479.3</v>
      </c>
      <c r="I368" s="3">
        <v>0</v>
      </c>
      <c r="J368" s="3">
        <v>0</v>
      </c>
      <c r="K368" s="3">
        <f>K367</f>
        <v>0</v>
      </c>
      <c r="L368" s="3">
        <v>0</v>
      </c>
      <c r="M368" s="3">
        <v>0</v>
      </c>
      <c r="N368" s="3">
        <v>0</v>
      </c>
      <c r="O368" s="102"/>
      <c r="P368" s="4"/>
    </row>
    <row r="369" spans="1:16" ht="15.75">
      <c r="A369" s="72"/>
      <c r="B369" s="84"/>
      <c r="C369" s="74"/>
      <c r="D369" s="1" t="s">
        <v>16</v>
      </c>
      <c r="E369" s="2">
        <f t="shared" si="152"/>
        <v>2050</v>
      </c>
      <c r="F369" s="2">
        <f t="shared" si="153"/>
        <v>2050</v>
      </c>
      <c r="G369" s="3">
        <f>H369</f>
        <v>2050</v>
      </c>
      <c r="H369" s="3">
        <v>2050</v>
      </c>
      <c r="I369" s="3">
        <v>0</v>
      </c>
      <c r="J369" s="3">
        <v>0</v>
      </c>
      <c r="K369" s="3">
        <f>K368</f>
        <v>0</v>
      </c>
      <c r="L369" s="3">
        <v>0</v>
      </c>
      <c r="M369" s="3">
        <v>0</v>
      </c>
      <c r="N369" s="3">
        <v>0</v>
      </c>
      <c r="O369" s="102"/>
      <c r="P369" s="4"/>
    </row>
    <row r="370" spans="1:16" ht="15.75">
      <c r="A370" s="72"/>
      <c r="B370" s="84"/>
      <c r="C370" s="74"/>
      <c r="D370" s="1" t="s">
        <v>17</v>
      </c>
      <c r="E370" s="2">
        <f t="shared" si="152"/>
        <v>2050</v>
      </c>
      <c r="F370" s="2">
        <f t="shared" si="153"/>
        <v>2050</v>
      </c>
      <c r="G370" s="3">
        <f>H370</f>
        <v>2050</v>
      </c>
      <c r="H370" s="3">
        <v>2050</v>
      </c>
      <c r="I370" s="3">
        <v>0</v>
      </c>
      <c r="J370" s="3">
        <v>0</v>
      </c>
      <c r="K370" s="3">
        <f>K369</f>
        <v>0</v>
      </c>
      <c r="L370" s="3">
        <v>0</v>
      </c>
      <c r="M370" s="3">
        <v>0</v>
      </c>
      <c r="N370" s="3">
        <v>0</v>
      </c>
      <c r="O370" s="102"/>
      <c r="P370" s="4"/>
    </row>
    <row r="371" spans="1:16" ht="15.75">
      <c r="A371" s="72"/>
      <c r="B371" s="84"/>
      <c r="C371" s="74"/>
      <c r="D371" s="1" t="s">
        <v>99</v>
      </c>
      <c r="E371" s="2">
        <f t="shared" si="152"/>
        <v>2050</v>
      </c>
      <c r="F371" s="2">
        <f t="shared" si="153"/>
        <v>2050</v>
      </c>
      <c r="G371" s="3">
        <f>G370</f>
        <v>2050</v>
      </c>
      <c r="H371" s="3">
        <v>2050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02"/>
      <c r="P371" s="4"/>
    </row>
    <row r="372" spans="1:16" ht="15.75">
      <c r="A372" s="72"/>
      <c r="B372" s="84"/>
      <c r="C372" s="74"/>
      <c r="D372" s="1" t="s">
        <v>100</v>
      </c>
      <c r="E372" s="2">
        <f t="shared" si="152"/>
        <v>2050</v>
      </c>
      <c r="F372" s="2">
        <f t="shared" si="153"/>
        <v>0</v>
      </c>
      <c r="G372" s="3">
        <f>G371</f>
        <v>2050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02"/>
      <c r="P372" s="4"/>
    </row>
    <row r="373" spans="1:16" ht="15.75">
      <c r="A373" s="72"/>
      <c r="B373" s="84"/>
      <c r="C373" s="74"/>
      <c r="D373" s="1" t="s">
        <v>101</v>
      </c>
      <c r="E373" s="2">
        <f t="shared" si="152"/>
        <v>2050</v>
      </c>
      <c r="F373" s="2">
        <f t="shared" si="153"/>
        <v>0</v>
      </c>
      <c r="G373" s="3">
        <f>G372</f>
        <v>2050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02"/>
      <c r="P373" s="4"/>
    </row>
    <row r="374" spans="1:16" ht="15.75">
      <c r="A374" s="72"/>
      <c r="B374" s="84"/>
      <c r="C374" s="74"/>
      <c r="D374" s="1" t="s">
        <v>102</v>
      </c>
      <c r="E374" s="2">
        <f t="shared" si="152"/>
        <v>2050</v>
      </c>
      <c r="F374" s="2">
        <f t="shared" si="153"/>
        <v>0</v>
      </c>
      <c r="G374" s="3">
        <f>G373</f>
        <v>2050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02"/>
      <c r="P374" s="4"/>
    </row>
    <row r="375" spans="1:16" ht="15.75">
      <c r="A375" s="73"/>
      <c r="B375" s="85"/>
      <c r="C375" s="74"/>
      <c r="D375" s="1" t="s">
        <v>103</v>
      </c>
      <c r="E375" s="2">
        <f t="shared" si="152"/>
        <v>2050</v>
      </c>
      <c r="F375" s="2">
        <f t="shared" si="153"/>
        <v>0</v>
      </c>
      <c r="G375" s="3">
        <f>G374</f>
        <v>2050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102"/>
      <c r="P375" s="4"/>
    </row>
    <row r="376" spans="1:16" s="12" customFormat="1" ht="15.75" customHeight="1">
      <c r="A376" s="71"/>
      <c r="B376" s="84" t="s">
        <v>97</v>
      </c>
      <c r="C376" s="71"/>
      <c r="D376" s="10" t="s">
        <v>11</v>
      </c>
      <c r="E376" s="2">
        <f>SUM(E377:E387)</f>
        <v>25558.500000000004</v>
      </c>
      <c r="F376" s="2">
        <f aca="true" t="shared" si="154" ref="F376:N376">SUM(F377:F387)</f>
        <v>13040.9</v>
      </c>
      <c r="G376" s="2">
        <f t="shared" si="154"/>
        <v>25558.500000000004</v>
      </c>
      <c r="H376" s="2">
        <f t="shared" si="154"/>
        <v>13040.9</v>
      </c>
      <c r="I376" s="2">
        <f t="shared" si="154"/>
        <v>0</v>
      </c>
      <c r="J376" s="2">
        <f t="shared" si="154"/>
        <v>0</v>
      </c>
      <c r="K376" s="2">
        <f t="shared" si="154"/>
        <v>0</v>
      </c>
      <c r="L376" s="2">
        <f t="shared" si="154"/>
        <v>0</v>
      </c>
      <c r="M376" s="2">
        <f t="shared" si="154"/>
        <v>0</v>
      </c>
      <c r="N376" s="2">
        <f t="shared" si="154"/>
        <v>0</v>
      </c>
      <c r="O376" s="102" t="s">
        <v>92</v>
      </c>
      <c r="P376" s="4"/>
    </row>
    <row r="377" spans="1:16" s="28" customFormat="1" ht="15.75">
      <c r="A377" s="72"/>
      <c r="B377" s="84"/>
      <c r="C377" s="72"/>
      <c r="D377" s="1" t="s">
        <v>12</v>
      </c>
      <c r="E377" s="2">
        <f aca="true" t="shared" si="155" ref="E377:E387">G377+I377+K377+M377</f>
        <v>0</v>
      </c>
      <c r="F377" s="2">
        <f aca="true" t="shared" si="156" ref="F377:F387">H377+J377+L377+N377</f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02"/>
      <c r="P377" s="39"/>
    </row>
    <row r="378" spans="1:16" ht="15.75">
      <c r="A378" s="72"/>
      <c r="B378" s="84"/>
      <c r="C378" s="72"/>
      <c r="D378" s="1" t="s">
        <v>13</v>
      </c>
      <c r="E378" s="2">
        <f t="shared" si="155"/>
        <v>0</v>
      </c>
      <c r="F378" s="2">
        <f t="shared" si="156"/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102"/>
      <c r="P378" s="4"/>
    </row>
    <row r="379" spans="1:16" ht="15" customHeight="1">
      <c r="A379" s="72"/>
      <c r="B379" s="84"/>
      <c r="C379" s="73"/>
      <c r="D379" s="1" t="s">
        <v>14</v>
      </c>
      <c r="E379" s="2">
        <f t="shared" si="155"/>
        <v>0</v>
      </c>
      <c r="F379" s="2">
        <f t="shared" si="156"/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02"/>
      <c r="P379" s="4"/>
    </row>
    <row r="380" spans="1:16" ht="15.75">
      <c r="A380" s="72"/>
      <c r="B380" s="84"/>
      <c r="C380" s="74" t="s">
        <v>84</v>
      </c>
      <c r="D380" s="1" t="s">
        <v>15</v>
      </c>
      <c r="E380" s="2">
        <f t="shared" si="155"/>
        <v>3652.7</v>
      </c>
      <c r="F380" s="2">
        <f t="shared" si="156"/>
        <v>3652.7</v>
      </c>
      <c r="G380" s="3">
        <v>3652.7</v>
      </c>
      <c r="H380" s="3">
        <f>G380</f>
        <v>3652.7</v>
      </c>
      <c r="I380" s="3">
        <v>0</v>
      </c>
      <c r="J380" s="3">
        <v>0</v>
      </c>
      <c r="K380" s="3">
        <f>K379</f>
        <v>0</v>
      </c>
      <c r="L380" s="3">
        <v>0</v>
      </c>
      <c r="M380" s="3">
        <v>0</v>
      </c>
      <c r="N380" s="3">
        <v>0</v>
      </c>
      <c r="O380" s="102"/>
      <c r="P380" s="4"/>
    </row>
    <row r="381" spans="1:16" ht="15.75">
      <c r="A381" s="72"/>
      <c r="B381" s="84"/>
      <c r="C381" s="74"/>
      <c r="D381" s="1" t="s">
        <v>16</v>
      </c>
      <c r="E381" s="2">
        <f t="shared" si="155"/>
        <v>3129.4</v>
      </c>
      <c r="F381" s="2">
        <f t="shared" si="156"/>
        <v>3129.4</v>
      </c>
      <c r="G381" s="3">
        <f>H381</f>
        <v>3129.4</v>
      </c>
      <c r="H381" s="3">
        <v>3129.4</v>
      </c>
      <c r="I381" s="3">
        <v>0</v>
      </c>
      <c r="J381" s="3">
        <v>0</v>
      </c>
      <c r="K381" s="3">
        <f>K380</f>
        <v>0</v>
      </c>
      <c r="L381" s="3">
        <v>0</v>
      </c>
      <c r="M381" s="3">
        <v>0</v>
      </c>
      <c r="N381" s="3">
        <v>0</v>
      </c>
      <c r="O381" s="102"/>
      <c r="P381" s="4"/>
    </row>
    <row r="382" spans="1:16" ht="15.75">
      <c r="A382" s="72"/>
      <c r="B382" s="84"/>
      <c r="C382" s="74"/>
      <c r="D382" s="1" t="s">
        <v>17</v>
      </c>
      <c r="E382" s="2">
        <f t="shared" si="155"/>
        <v>3129.4</v>
      </c>
      <c r="F382" s="2">
        <f t="shared" si="156"/>
        <v>3129.4</v>
      </c>
      <c r="G382" s="3">
        <f>H382</f>
        <v>3129.4</v>
      </c>
      <c r="H382" s="3">
        <v>3129.4</v>
      </c>
      <c r="I382" s="3">
        <v>0</v>
      </c>
      <c r="J382" s="3">
        <v>0</v>
      </c>
      <c r="K382" s="3">
        <f>K381</f>
        <v>0</v>
      </c>
      <c r="L382" s="3">
        <v>0</v>
      </c>
      <c r="M382" s="3">
        <v>0</v>
      </c>
      <c r="N382" s="3">
        <v>0</v>
      </c>
      <c r="O382" s="102"/>
      <c r="P382" s="4"/>
    </row>
    <row r="383" spans="1:16" ht="15.75">
      <c r="A383" s="72"/>
      <c r="B383" s="84"/>
      <c r="C383" s="74"/>
      <c r="D383" s="1" t="s">
        <v>99</v>
      </c>
      <c r="E383" s="2">
        <f t="shared" si="155"/>
        <v>3129.4</v>
      </c>
      <c r="F383" s="2">
        <f t="shared" si="156"/>
        <v>3129.4</v>
      </c>
      <c r="G383" s="3">
        <f>G382</f>
        <v>3129.4</v>
      </c>
      <c r="H383" s="3">
        <v>3129.4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02"/>
      <c r="P383" s="4"/>
    </row>
    <row r="384" spans="1:16" ht="15.75">
      <c r="A384" s="72"/>
      <c r="B384" s="84"/>
      <c r="C384" s="74"/>
      <c r="D384" s="1" t="s">
        <v>100</v>
      </c>
      <c r="E384" s="2">
        <f t="shared" si="155"/>
        <v>3129.4</v>
      </c>
      <c r="F384" s="2">
        <f t="shared" si="156"/>
        <v>0</v>
      </c>
      <c r="G384" s="3">
        <f>G383</f>
        <v>3129.4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02"/>
      <c r="P384" s="4"/>
    </row>
    <row r="385" spans="1:16" ht="15.75">
      <c r="A385" s="72"/>
      <c r="B385" s="84"/>
      <c r="C385" s="74"/>
      <c r="D385" s="1" t="s">
        <v>101</v>
      </c>
      <c r="E385" s="2">
        <f t="shared" si="155"/>
        <v>3129.4</v>
      </c>
      <c r="F385" s="2">
        <f t="shared" si="156"/>
        <v>0</v>
      </c>
      <c r="G385" s="3">
        <f>G384</f>
        <v>3129.4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102"/>
      <c r="P385" s="4"/>
    </row>
    <row r="386" spans="1:16" ht="15.75">
      <c r="A386" s="72"/>
      <c r="B386" s="84"/>
      <c r="C386" s="74"/>
      <c r="D386" s="1" t="s">
        <v>102</v>
      </c>
      <c r="E386" s="2">
        <f t="shared" si="155"/>
        <v>3129.4</v>
      </c>
      <c r="F386" s="2">
        <f t="shared" si="156"/>
        <v>0</v>
      </c>
      <c r="G386" s="3">
        <f>G385</f>
        <v>3129.4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02"/>
      <c r="P386" s="4"/>
    </row>
    <row r="387" spans="1:16" ht="15.75">
      <c r="A387" s="73"/>
      <c r="B387" s="85"/>
      <c r="C387" s="74"/>
      <c r="D387" s="1" t="s">
        <v>103</v>
      </c>
      <c r="E387" s="2">
        <f t="shared" si="155"/>
        <v>3129.4</v>
      </c>
      <c r="F387" s="2">
        <f t="shared" si="156"/>
        <v>0</v>
      </c>
      <c r="G387" s="3">
        <f>G386</f>
        <v>3129.4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02"/>
      <c r="P387" s="4"/>
    </row>
    <row r="388" spans="1:16" ht="15.75" hidden="1">
      <c r="A388" s="7"/>
      <c r="B388" s="14"/>
      <c r="C388" s="10"/>
      <c r="D388" s="1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64"/>
      <c r="P388" s="4"/>
    </row>
    <row r="389" spans="1:16" s="12" customFormat="1" ht="35.25" customHeight="1" hidden="1">
      <c r="A389" s="71"/>
      <c r="B389" s="92"/>
      <c r="C389" s="6"/>
      <c r="D389" s="1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65"/>
      <c r="P389" s="4"/>
    </row>
    <row r="390" spans="1:16" s="12" customFormat="1" ht="15.75" customHeight="1" hidden="1">
      <c r="A390" s="72"/>
      <c r="B390" s="92"/>
      <c r="C390" s="22"/>
      <c r="D390" s="1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65"/>
      <c r="P390" s="4"/>
    </row>
    <row r="391" spans="1:24" s="12" customFormat="1" ht="15" customHeight="1" hidden="1">
      <c r="A391" s="72"/>
      <c r="B391" s="92"/>
      <c r="C391" s="22"/>
      <c r="D391" s="1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65"/>
      <c r="P391" s="4"/>
      <c r="X391" s="35"/>
    </row>
    <row r="392" spans="1:16" s="12" customFormat="1" ht="15.75" hidden="1">
      <c r="A392" s="72"/>
      <c r="B392" s="92"/>
      <c r="C392" s="70"/>
      <c r="D392" s="1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65"/>
      <c r="P392" s="4"/>
    </row>
    <row r="393" spans="1:16" s="12" customFormat="1" ht="15.75" hidden="1">
      <c r="A393" s="72"/>
      <c r="B393" s="92"/>
      <c r="C393" s="70"/>
      <c r="D393" s="1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65"/>
      <c r="P393" s="4"/>
    </row>
    <row r="394" spans="1:16" s="12" customFormat="1" ht="15.75" hidden="1">
      <c r="A394" s="72"/>
      <c r="B394" s="92"/>
      <c r="C394" s="70"/>
      <c r="D394" s="1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66"/>
      <c r="P394" s="4"/>
    </row>
    <row r="395" spans="1:16" s="12" customFormat="1" ht="15.75" customHeight="1" hidden="1">
      <c r="A395" s="72"/>
      <c r="B395" s="84"/>
      <c r="C395" s="71"/>
      <c r="D395" s="1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02"/>
      <c r="P395" s="4"/>
    </row>
    <row r="396" spans="1:16" s="28" customFormat="1" ht="15.75" hidden="1">
      <c r="A396" s="72"/>
      <c r="B396" s="84"/>
      <c r="C396" s="72"/>
      <c r="D396" s="1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102"/>
      <c r="P396" s="39"/>
    </row>
    <row r="397" spans="1:16" ht="15.75" hidden="1">
      <c r="A397" s="72"/>
      <c r="B397" s="84"/>
      <c r="C397" s="72"/>
      <c r="D397" s="1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102"/>
      <c r="P397" s="4"/>
    </row>
    <row r="398" spans="1:16" ht="15" customHeight="1" hidden="1">
      <c r="A398" s="72"/>
      <c r="B398" s="84"/>
      <c r="C398" s="73"/>
      <c r="D398" s="1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102"/>
      <c r="P398" s="4"/>
    </row>
    <row r="399" spans="1:16" ht="15.75" hidden="1">
      <c r="A399" s="72"/>
      <c r="B399" s="84"/>
      <c r="C399" s="74"/>
      <c r="D399" s="1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102"/>
      <c r="P399" s="4"/>
    </row>
    <row r="400" spans="1:16" ht="15.75" hidden="1">
      <c r="A400" s="72"/>
      <c r="B400" s="84"/>
      <c r="C400" s="74"/>
      <c r="D400" s="1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102"/>
      <c r="P400" s="4"/>
    </row>
    <row r="401" spans="1:16" ht="15.75" hidden="1">
      <c r="A401" s="72"/>
      <c r="B401" s="85"/>
      <c r="C401" s="74"/>
      <c r="D401" s="1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102"/>
      <c r="P401" s="4"/>
    </row>
    <row r="402" spans="1:16" s="12" customFormat="1" ht="15.75" customHeight="1" hidden="1">
      <c r="A402" s="72"/>
      <c r="B402" s="84"/>
      <c r="C402" s="71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02"/>
      <c r="P402" s="4"/>
    </row>
    <row r="403" spans="1:16" s="28" customFormat="1" ht="15.75" hidden="1">
      <c r="A403" s="72"/>
      <c r="B403" s="84"/>
      <c r="C403" s="72"/>
      <c r="D403" s="1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102"/>
      <c r="P403" s="39"/>
    </row>
    <row r="404" spans="1:16" ht="15.75" hidden="1">
      <c r="A404" s="72"/>
      <c r="B404" s="84"/>
      <c r="C404" s="72"/>
      <c r="D404" s="1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102"/>
      <c r="P404" s="4"/>
    </row>
    <row r="405" spans="1:16" ht="15" customHeight="1" hidden="1">
      <c r="A405" s="72"/>
      <c r="B405" s="84"/>
      <c r="C405" s="73"/>
      <c r="D405" s="1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102"/>
      <c r="P405" s="4"/>
    </row>
    <row r="406" spans="1:16" ht="15.75" hidden="1">
      <c r="A406" s="72"/>
      <c r="B406" s="84"/>
      <c r="C406" s="74"/>
      <c r="D406" s="1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102"/>
      <c r="P406" s="4"/>
    </row>
    <row r="407" spans="1:16" ht="15.75" hidden="1">
      <c r="A407" s="72"/>
      <c r="B407" s="84"/>
      <c r="C407" s="74"/>
      <c r="D407" s="1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102"/>
      <c r="P407" s="4"/>
    </row>
    <row r="408" spans="1:16" ht="15.75" hidden="1">
      <c r="A408" s="72"/>
      <c r="B408" s="85"/>
      <c r="C408" s="74"/>
      <c r="D408" s="1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102"/>
      <c r="P408" s="4"/>
    </row>
    <row r="409" spans="1:16" s="12" customFormat="1" ht="15.75" customHeight="1" hidden="1">
      <c r="A409" s="72"/>
      <c r="B409" s="84"/>
      <c r="C409" s="71"/>
      <c r="D409" s="1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02"/>
      <c r="P409" s="4"/>
    </row>
    <row r="410" spans="1:16" s="28" customFormat="1" ht="15.75" hidden="1">
      <c r="A410" s="72"/>
      <c r="B410" s="84"/>
      <c r="C410" s="72"/>
      <c r="D410" s="1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102"/>
      <c r="P410" s="39"/>
    </row>
    <row r="411" spans="1:16" ht="15.75" hidden="1">
      <c r="A411" s="72"/>
      <c r="B411" s="84"/>
      <c r="C411" s="72"/>
      <c r="D411" s="1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102"/>
      <c r="P411" s="4"/>
    </row>
    <row r="412" spans="1:16" ht="15" customHeight="1" hidden="1">
      <c r="A412" s="72"/>
      <c r="B412" s="84"/>
      <c r="C412" s="73"/>
      <c r="D412" s="1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102"/>
      <c r="P412" s="4"/>
    </row>
    <row r="413" spans="1:16" ht="15.75" hidden="1">
      <c r="A413" s="72"/>
      <c r="B413" s="84"/>
      <c r="C413" s="74"/>
      <c r="D413" s="1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102"/>
      <c r="P413" s="4"/>
    </row>
    <row r="414" spans="1:16" ht="15.75" hidden="1">
      <c r="A414" s="72"/>
      <c r="B414" s="84"/>
      <c r="C414" s="74"/>
      <c r="D414" s="1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102"/>
      <c r="P414" s="4"/>
    </row>
    <row r="415" spans="1:16" ht="15.75" hidden="1">
      <c r="A415" s="72"/>
      <c r="B415" s="85"/>
      <c r="C415" s="74"/>
      <c r="D415" s="1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102"/>
      <c r="P415" s="4"/>
    </row>
    <row r="416" spans="1:16" s="12" customFormat="1" ht="15.75" customHeight="1" hidden="1">
      <c r="A416" s="72"/>
      <c r="B416" s="84"/>
      <c r="C416" s="71"/>
      <c r="D416" s="1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02"/>
      <c r="P416" s="4"/>
    </row>
    <row r="417" spans="1:16" s="28" customFormat="1" ht="15.75" hidden="1">
      <c r="A417" s="72"/>
      <c r="B417" s="84"/>
      <c r="C417" s="72"/>
      <c r="D417" s="1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102"/>
      <c r="P417" s="39"/>
    </row>
    <row r="418" spans="1:16" ht="15.75" hidden="1">
      <c r="A418" s="72"/>
      <c r="B418" s="84"/>
      <c r="C418" s="72"/>
      <c r="D418" s="1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102"/>
      <c r="P418" s="4"/>
    </row>
    <row r="419" spans="1:16" ht="15" customHeight="1" hidden="1">
      <c r="A419" s="72"/>
      <c r="B419" s="84"/>
      <c r="C419" s="73"/>
      <c r="D419" s="1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102"/>
      <c r="P419" s="4"/>
    </row>
    <row r="420" spans="1:16" ht="15.75" hidden="1">
      <c r="A420" s="72"/>
      <c r="B420" s="84"/>
      <c r="C420" s="74"/>
      <c r="D420" s="1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102"/>
      <c r="P420" s="4"/>
    </row>
    <row r="421" spans="1:16" ht="15.75" hidden="1">
      <c r="A421" s="72"/>
      <c r="B421" s="84"/>
      <c r="C421" s="74"/>
      <c r="D421" s="1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102"/>
      <c r="P421" s="4"/>
    </row>
    <row r="422" spans="1:16" ht="15.75" hidden="1">
      <c r="A422" s="73"/>
      <c r="B422" s="85"/>
      <c r="C422" s="74"/>
      <c r="D422" s="1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102"/>
      <c r="P422" s="4"/>
    </row>
    <row r="423" spans="1:16" ht="15.75">
      <c r="A423" s="70"/>
      <c r="B423" s="92" t="s">
        <v>48</v>
      </c>
      <c r="C423" s="71"/>
      <c r="D423" s="10" t="s">
        <v>11</v>
      </c>
      <c r="E423" s="2">
        <f>SUM(E424:E434)</f>
        <v>5378549.565999999</v>
      </c>
      <c r="F423" s="2">
        <f>SUM(F424:F434)</f>
        <v>3065758.9359999998</v>
      </c>
      <c r="G423" s="2">
        <f aca="true" t="shared" si="157" ref="G423:M423">SUM(G424:G434)</f>
        <v>3237645.57</v>
      </c>
      <c r="H423" s="2">
        <f>SUM(H424:H434)</f>
        <v>2181804.74</v>
      </c>
      <c r="I423" s="2">
        <f t="shared" si="157"/>
        <v>10303.4</v>
      </c>
      <c r="J423" s="2">
        <f t="shared" si="157"/>
        <v>645.6</v>
      </c>
      <c r="K423" s="2">
        <f t="shared" si="157"/>
        <v>1423629.696</v>
      </c>
      <c r="L423" s="2">
        <f>SUM(L424:L434)</f>
        <v>402921.29600000003</v>
      </c>
      <c r="M423" s="2">
        <f t="shared" si="157"/>
        <v>706970.9000000001</v>
      </c>
      <c r="N423" s="2">
        <f>SUM(N424:N434)</f>
        <v>480387.30000000005</v>
      </c>
      <c r="O423" s="11"/>
      <c r="P423" s="4"/>
    </row>
    <row r="424" spans="1:16" s="12" customFormat="1" ht="15.75">
      <c r="A424" s="70"/>
      <c r="B424" s="92"/>
      <c r="C424" s="72"/>
      <c r="D424" s="10" t="s">
        <v>12</v>
      </c>
      <c r="E424" s="2">
        <f aca="true" t="shared" si="158" ref="E424:F428">G424+I424+K424+M424</f>
        <v>423497.10000000003</v>
      </c>
      <c r="F424" s="2">
        <f>H424+J424+L424+N424</f>
        <v>369330.50000000006</v>
      </c>
      <c r="G424" s="2">
        <f aca="true" t="shared" si="159" ref="G424:N424">G44+G106+G149+G237</f>
        <v>287073</v>
      </c>
      <c r="H424" s="2">
        <f t="shared" si="159"/>
        <v>242825.40000000002</v>
      </c>
      <c r="I424" s="2">
        <f t="shared" si="159"/>
        <v>3225</v>
      </c>
      <c r="J424" s="2">
        <f t="shared" si="159"/>
        <v>0</v>
      </c>
      <c r="K424" s="2">
        <f t="shared" si="159"/>
        <v>69836.9</v>
      </c>
      <c r="L424" s="2">
        <f t="shared" si="159"/>
        <v>63142.9</v>
      </c>
      <c r="M424" s="2">
        <f t="shared" si="159"/>
        <v>63362.2</v>
      </c>
      <c r="N424" s="2">
        <f t="shared" si="159"/>
        <v>63362.2</v>
      </c>
      <c r="O424" s="11"/>
      <c r="P424" s="4"/>
    </row>
    <row r="425" spans="1:16" s="12" customFormat="1" ht="15.75">
      <c r="A425" s="70"/>
      <c r="B425" s="92"/>
      <c r="C425" s="72"/>
      <c r="D425" s="10" t="s">
        <v>13</v>
      </c>
      <c r="E425" s="2">
        <f t="shared" si="158"/>
        <v>415534.89</v>
      </c>
      <c r="F425" s="2">
        <f t="shared" si="158"/>
        <v>393154.04000000004</v>
      </c>
      <c r="G425" s="2">
        <f aca="true" t="shared" si="160" ref="G425:I426">G45+G107+G150+G238</f>
        <v>268270.99</v>
      </c>
      <c r="H425" s="2">
        <f t="shared" si="160"/>
        <v>255911.14</v>
      </c>
      <c r="I425" s="2">
        <f t="shared" si="160"/>
        <v>3297.5</v>
      </c>
      <c r="J425" s="2">
        <v>0</v>
      </c>
      <c r="K425" s="2">
        <f aca="true" t="shared" si="161" ref="K425:N426">K45+K107+K150+K238</f>
        <v>68949.3</v>
      </c>
      <c r="L425" s="2">
        <f t="shared" si="161"/>
        <v>62225.8</v>
      </c>
      <c r="M425" s="2">
        <f t="shared" si="161"/>
        <v>75017.1</v>
      </c>
      <c r="N425" s="2">
        <f t="shared" si="161"/>
        <v>75017.1</v>
      </c>
      <c r="O425" s="11"/>
      <c r="P425" s="4"/>
    </row>
    <row r="426" spans="1:16" s="12" customFormat="1" ht="15.75">
      <c r="A426" s="70"/>
      <c r="B426" s="92"/>
      <c r="C426" s="72"/>
      <c r="D426" s="10" t="s">
        <v>14</v>
      </c>
      <c r="E426" s="2">
        <f t="shared" si="158"/>
        <v>476059.0959999999</v>
      </c>
      <c r="F426" s="2">
        <f t="shared" si="158"/>
        <v>458652.696</v>
      </c>
      <c r="G426" s="2">
        <f t="shared" si="160"/>
        <v>277844.1</v>
      </c>
      <c r="H426" s="2">
        <f t="shared" si="160"/>
        <v>267597.4</v>
      </c>
      <c r="I426" s="2">
        <f t="shared" si="160"/>
        <v>3135.3</v>
      </c>
      <c r="J426" s="2">
        <f>J46+J108+J151+J239</f>
        <v>0</v>
      </c>
      <c r="K426" s="2">
        <f t="shared" si="161"/>
        <v>112958.09599999999</v>
      </c>
      <c r="L426" s="2">
        <f t="shared" si="161"/>
        <v>108933.69599999998</v>
      </c>
      <c r="M426" s="2">
        <f t="shared" si="161"/>
        <v>82121.6</v>
      </c>
      <c r="N426" s="2">
        <f t="shared" si="161"/>
        <v>82121.6</v>
      </c>
      <c r="O426" s="11"/>
      <c r="P426" s="4"/>
    </row>
    <row r="427" spans="1:16" s="12" customFormat="1" ht="15.75">
      <c r="A427" s="70"/>
      <c r="B427" s="92"/>
      <c r="C427" s="72"/>
      <c r="D427" s="10" t="s">
        <v>15</v>
      </c>
      <c r="E427" s="2">
        <f t="shared" si="158"/>
        <v>533092.2000000001</v>
      </c>
      <c r="F427" s="2">
        <f t="shared" si="158"/>
        <v>517689.5</v>
      </c>
      <c r="G427" s="2">
        <f aca="true" t="shared" si="162" ref="G427:N429">G47+G109+G152+G240+G392</f>
        <v>301455.4</v>
      </c>
      <c r="H427" s="2">
        <f t="shared" si="162"/>
        <v>286052.7</v>
      </c>
      <c r="I427" s="2">
        <f t="shared" si="162"/>
        <v>645.6</v>
      </c>
      <c r="J427" s="2">
        <f t="shared" si="162"/>
        <v>645.6</v>
      </c>
      <c r="K427" s="2">
        <f t="shared" si="162"/>
        <v>145737.90000000002</v>
      </c>
      <c r="L427" s="2">
        <f t="shared" si="162"/>
        <v>145737.90000000002</v>
      </c>
      <c r="M427" s="2">
        <f t="shared" si="162"/>
        <v>85253.3</v>
      </c>
      <c r="N427" s="2">
        <f t="shared" si="162"/>
        <v>85253.3</v>
      </c>
      <c r="O427" s="11"/>
      <c r="P427" s="4"/>
    </row>
    <row r="428" spans="1:16" s="12" customFormat="1" ht="15.75">
      <c r="A428" s="70"/>
      <c r="B428" s="92"/>
      <c r="C428" s="72"/>
      <c r="D428" s="10" t="s">
        <v>16</v>
      </c>
      <c r="E428" s="2">
        <f t="shared" si="158"/>
        <v>511020.24</v>
      </c>
      <c r="F428" s="2">
        <f t="shared" si="158"/>
        <v>360557.5</v>
      </c>
      <c r="G428" s="2">
        <f t="shared" si="162"/>
        <v>303086.44</v>
      </c>
      <c r="H428" s="2">
        <f t="shared" si="162"/>
        <v>291589.2</v>
      </c>
      <c r="I428" s="2">
        <f t="shared" si="162"/>
        <v>0</v>
      </c>
      <c r="J428" s="2">
        <f t="shared" si="162"/>
        <v>0</v>
      </c>
      <c r="K428" s="2">
        <f t="shared" si="162"/>
        <v>146592.5</v>
      </c>
      <c r="L428" s="2">
        <f t="shared" si="162"/>
        <v>7627</v>
      </c>
      <c r="M428" s="2">
        <f t="shared" si="162"/>
        <v>61341.3</v>
      </c>
      <c r="N428" s="2">
        <f t="shared" si="162"/>
        <v>61341.3</v>
      </c>
      <c r="O428" s="11"/>
      <c r="P428" s="4"/>
    </row>
    <row r="429" spans="1:16" s="12" customFormat="1" ht="15.75">
      <c r="A429" s="70"/>
      <c r="B429" s="92"/>
      <c r="C429" s="72"/>
      <c r="D429" s="10" t="s">
        <v>17</v>
      </c>
      <c r="E429" s="2">
        <f aca="true" t="shared" si="163" ref="E429:F434">G429+I429+K429+M429</f>
        <v>503224.33999999997</v>
      </c>
      <c r="F429" s="2">
        <f t="shared" si="163"/>
        <v>351885.69999999995</v>
      </c>
      <c r="G429" s="2">
        <f t="shared" si="162"/>
        <v>299985.94</v>
      </c>
      <c r="H429" s="2">
        <f t="shared" si="162"/>
        <v>287612.8</v>
      </c>
      <c r="I429" s="2">
        <f t="shared" si="162"/>
        <v>0</v>
      </c>
      <c r="J429" s="2">
        <f t="shared" si="162"/>
        <v>0</v>
      </c>
      <c r="K429" s="2">
        <f t="shared" si="162"/>
        <v>146592.5</v>
      </c>
      <c r="L429" s="2">
        <f t="shared" si="162"/>
        <v>7627</v>
      </c>
      <c r="M429" s="2">
        <f t="shared" si="162"/>
        <v>56645.899999999994</v>
      </c>
      <c r="N429" s="2">
        <f t="shared" si="162"/>
        <v>56645.899999999994</v>
      </c>
      <c r="O429" s="11"/>
      <c r="P429" s="4"/>
    </row>
    <row r="430" spans="1:16" s="12" customFormat="1" ht="15.75">
      <c r="A430" s="70"/>
      <c r="B430" s="92"/>
      <c r="C430" s="72"/>
      <c r="D430" s="10" t="s">
        <v>99</v>
      </c>
      <c r="E430" s="2">
        <f t="shared" si="163"/>
        <v>503224.33999999997</v>
      </c>
      <c r="F430" s="2">
        <f t="shared" si="163"/>
        <v>351885.69999999995</v>
      </c>
      <c r="G430" s="2">
        <f>G50+G112+G155+G243+G395</f>
        <v>299985.94</v>
      </c>
      <c r="H430" s="2">
        <f aca="true" t="shared" si="164" ref="H430:N430">H50+H112+H155+H243+H395</f>
        <v>287612.8</v>
      </c>
      <c r="I430" s="2">
        <f t="shared" si="164"/>
        <v>0</v>
      </c>
      <c r="J430" s="2">
        <f t="shared" si="164"/>
        <v>0</v>
      </c>
      <c r="K430" s="2">
        <f t="shared" si="164"/>
        <v>146592.5</v>
      </c>
      <c r="L430" s="2">
        <f t="shared" si="164"/>
        <v>7627</v>
      </c>
      <c r="M430" s="2">
        <f t="shared" si="164"/>
        <v>56645.899999999994</v>
      </c>
      <c r="N430" s="2">
        <f t="shared" si="164"/>
        <v>56645.899999999994</v>
      </c>
      <c r="O430" s="11"/>
      <c r="P430" s="4"/>
    </row>
    <row r="431" spans="1:16" s="12" customFormat="1" ht="15.75">
      <c r="A431" s="70"/>
      <c r="B431" s="92"/>
      <c r="C431" s="72"/>
      <c r="D431" s="10" t="s">
        <v>100</v>
      </c>
      <c r="E431" s="2">
        <f t="shared" si="163"/>
        <v>503224.33999999997</v>
      </c>
      <c r="F431" s="2">
        <f t="shared" si="163"/>
        <v>262603.30000000005</v>
      </c>
      <c r="G431" s="2">
        <f aca="true" t="shared" si="165" ref="G431:N431">G51+G113+G156+G244+G396</f>
        <v>299985.94</v>
      </c>
      <c r="H431" s="2">
        <f t="shared" si="165"/>
        <v>262603.30000000005</v>
      </c>
      <c r="I431" s="2">
        <f t="shared" si="165"/>
        <v>0</v>
      </c>
      <c r="J431" s="2">
        <f t="shared" si="165"/>
        <v>0</v>
      </c>
      <c r="K431" s="2">
        <f t="shared" si="165"/>
        <v>146592.5</v>
      </c>
      <c r="L431" s="2">
        <f t="shared" si="165"/>
        <v>0</v>
      </c>
      <c r="M431" s="2">
        <f t="shared" si="165"/>
        <v>56645.899999999994</v>
      </c>
      <c r="N431" s="2">
        <f t="shared" si="165"/>
        <v>0</v>
      </c>
      <c r="O431" s="11"/>
      <c r="P431" s="4"/>
    </row>
    <row r="432" spans="1:16" s="12" customFormat="1" ht="15.75">
      <c r="A432" s="70"/>
      <c r="B432" s="92"/>
      <c r="C432" s="72"/>
      <c r="D432" s="10" t="s">
        <v>101</v>
      </c>
      <c r="E432" s="2">
        <f t="shared" si="163"/>
        <v>503224.33999999997</v>
      </c>
      <c r="F432" s="2">
        <f t="shared" si="163"/>
        <v>0</v>
      </c>
      <c r="G432" s="2">
        <f aca="true" t="shared" si="166" ref="G432:N432">G52+G114+G157+G245+G397</f>
        <v>299985.94</v>
      </c>
      <c r="H432" s="2">
        <f t="shared" si="166"/>
        <v>0</v>
      </c>
      <c r="I432" s="2">
        <f t="shared" si="166"/>
        <v>0</v>
      </c>
      <c r="J432" s="2">
        <f t="shared" si="166"/>
        <v>0</v>
      </c>
      <c r="K432" s="2">
        <f t="shared" si="166"/>
        <v>146592.5</v>
      </c>
      <c r="L432" s="2">
        <f t="shared" si="166"/>
        <v>0</v>
      </c>
      <c r="M432" s="2">
        <f t="shared" si="166"/>
        <v>56645.899999999994</v>
      </c>
      <c r="N432" s="2">
        <f t="shared" si="166"/>
        <v>0</v>
      </c>
      <c r="O432" s="11"/>
      <c r="P432" s="4"/>
    </row>
    <row r="433" spans="1:16" s="12" customFormat="1" ht="15.75">
      <c r="A433" s="70"/>
      <c r="B433" s="92"/>
      <c r="C433" s="72"/>
      <c r="D433" s="10" t="s">
        <v>102</v>
      </c>
      <c r="E433" s="2">
        <f t="shared" si="163"/>
        <v>503224.33999999997</v>
      </c>
      <c r="F433" s="2">
        <f t="shared" si="163"/>
        <v>0</v>
      </c>
      <c r="G433" s="2">
        <f aca="true" t="shared" si="167" ref="G433:N433">G53+G115+G158+G246+G398</f>
        <v>299985.94</v>
      </c>
      <c r="H433" s="2">
        <f t="shared" si="167"/>
        <v>0</v>
      </c>
      <c r="I433" s="2">
        <f t="shared" si="167"/>
        <v>0</v>
      </c>
      <c r="J433" s="2">
        <f t="shared" si="167"/>
        <v>0</v>
      </c>
      <c r="K433" s="2">
        <f t="shared" si="167"/>
        <v>146592.5</v>
      </c>
      <c r="L433" s="2">
        <f t="shared" si="167"/>
        <v>0</v>
      </c>
      <c r="M433" s="2">
        <f t="shared" si="167"/>
        <v>56645.899999999994</v>
      </c>
      <c r="N433" s="2">
        <f t="shared" si="167"/>
        <v>0</v>
      </c>
      <c r="O433" s="11"/>
      <c r="P433" s="4"/>
    </row>
    <row r="434" spans="1:16" s="12" customFormat="1" ht="15.75">
      <c r="A434" s="70"/>
      <c r="B434" s="92"/>
      <c r="C434" s="73"/>
      <c r="D434" s="10" t="s">
        <v>103</v>
      </c>
      <c r="E434" s="2">
        <f t="shared" si="163"/>
        <v>503224.33999999997</v>
      </c>
      <c r="F434" s="2">
        <f t="shared" si="163"/>
        <v>0</v>
      </c>
      <c r="G434" s="2">
        <f aca="true" t="shared" si="168" ref="G434:N434">G54+G116+G159+G247+G399</f>
        <v>299985.94</v>
      </c>
      <c r="H434" s="2">
        <f t="shared" si="168"/>
        <v>0</v>
      </c>
      <c r="I434" s="2">
        <f t="shared" si="168"/>
        <v>0</v>
      </c>
      <c r="J434" s="2">
        <f t="shared" si="168"/>
        <v>0</v>
      </c>
      <c r="K434" s="2">
        <f t="shared" si="168"/>
        <v>146592.5</v>
      </c>
      <c r="L434" s="2">
        <f t="shared" si="168"/>
        <v>0</v>
      </c>
      <c r="M434" s="2">
        <f t="shared" si="168"/>
        <v>56645.899999999994</v>
      </c>
      <c r="N434" s="2">
        <f t="shared" si="168"/>
        <v>0</v>
      </c>
      <c r="O434" s="23"/>
      <c r="P434" s="4"/>
    </row>
    <row r="435" spans="1:16" s="12" customFormat="1" ht="15.75" hidden="1">
      <c r="A435" s="5"/>
      <c r="B435" s="24"/>
      <c r="C435" s="42"/>
      <c r="D435" s="42"/>
      <c r="E435" s="13"/>
      <c r="F435" s="13">
        <v>2015</v>
      </c>
      <c r="G435" s="25"/>
      <c r="H435" s="42"/>
      <c r="I435" s="42"/>
      <c r="J435" s="42"/>
      <c r="K435" s="42"/>
      <c r="L435" s="42"/>
      <c r="M435" s="42"/>
      <c r="N435" s="42"/>
      <c r="O435" s="26"/>
      <c r="P435" s="4"/>
    </row>
    <row r="436" spans="2:10" ht="15.75" hidden="1">
      <c r="B436" s="76"/>
      <c r="C436" s="76"/>
      <c r="D436" s="76"/>
      <c r="E436" s="76"/>
      <c r="F436" s="13">
        <v>2016</v>
      </c>
      <c r="G436" s="25">
        <f>G425-H425</f>
        <v>12359.849999999977</v>
      </c>
      <c r="H436" s="25">
        <f>4835.1+1025.3+4825.53+1673.94</f>
        <v>12359.87</v>
      </c>
      <c r="I436" s="75" t="s">
        <v>51</v>
      </c>
      <c r="J436" s="75"/>
    </row>
    <row r="437" spans="2:10" ht="15.75" hidden="1">
      <c r="B437" s="76" t="s">
        <v>50</v>
      </c>
      <c r="C437" s="76"/>
      <c r="D437" s="76"/>
      <c r="E437" s="76"/>
      <c r="F437" s="13">
        <v>2017</v>
      </c>
      <c r="G437" s="27">
        <f>G426-H426</f>
        <v>10246.699999999953</v>
      </c>
      <c r="H437" s="25">
        <f>4493.43+542.32+1684.97+3426.98</f>
        <v>10147.7</v>
      </c>
      <c r="I437" s="75" t="s">
        <v>51</v>
      </c>
      <c r="J437" s="75"/>
    </row>
    <row r="438" spans="6:8" ht="15.75" hidden="1">
      <c r="F438" s="13">
        <v>2018</v>
      </c>
      <c r="G438" s="25">
        <f>G427-H427</f>
        <v>15402.700000000012</v>
      </c>
      <c r="H438" s="25"/>
    </row>
    <row r="439" ht="15.75">
      <c r="G439" s="25"/>
    </row>
    <row r="440" spans="7:9" ht="15.75">
      <c r="G440" s="47"/>
      <c r="H440" s="44"/>
      <c r="I440" s="44"/>
    </row>
    <row r="441" ht="15.75">
      <c r="G441" s="47"/>
    </row>
    <row r="442" ht="15.75">
      <c r="G442" s="47"/>
    </row>
  </sheetData>
  <sheetProtection/>
  <mergeCells count="151">
    <mergeCell ref="A340:A351"/>
    <mergeCell ref="A352:A363"/>
    <mergeCell ref="A364:A375"/>
    <mergeCell ref="A376:A387"/>
    <mergeCell ref="B409:B415"/>
    <mergeCell ref="C409:C412"/>
    <mergeCell ref="C413:C415"/>
    <mergeCell ref="O340:O351"/>
    <mergeCell ref="C344:C351"/>
    <mergeCell ref="B352:B363"/>
    <mergeCell ref="C352:C355"/>
    <mergeCell ref="O352:O363"/>
    <mergeCell ref="C356:C363"/>
    <mergeCell ref="O364:O375"/>
    <mergeCell ref="C402:C405"/>
    <mergeCell ref="O402:O408"/>
    <mergeCell ref="C416:C419"/>
    <mergeCell ref="B389:B394"/>
    <mergeCell ref="B395:B401"/>
    <mergeCell ref="C399:C401"/>
    <mergeCell ref="C395:C398"/>
    <mergeCell ref="B340:B351"/>
    <mergeCell ref="C340:C343"/>
    <mergeCell ref="B376:B387"/>
    <mergeCell ref="C376:C379"/>
    <mergeCell ref="B364:B375"/>
    <mergeCell ref="C364:C367"/>
    <mergeCell ref="E198:N202"/>
    <mergeCell ref="O236:O339"/>
    <mergeCell ref="O395:O401"/>
    <mergeCell ref="E212:N216"/>
    <mergeCell ref="E274:N278"/>
    <mergeCell ref="E281:N285"/>
    <mergeCell ref="E302:N306"/>
    <mergeCell ref="E309:N313"/>
    <mergeCell ref="E205:N209"/>
    <mergeCell ref="O376:O387"/>
    <mergeCell ref="O409:O415"/>
    <mergeCell ref="O416:O422"/>
    <mergeCell ref="C226:C235"/>
    <mergeCell ref="C238:C247"/>
    <mergeCell ref="C251:C259"/>
    <mergeCell ref="C262:C271"/>
    <mergeCell ref="C330:C339"/>
    <mergeCell ref="O388:O394"/>
    <mergeCell ref="O148:O235"/>
    <mergeCell ref="C163:C171"/>
    <mergeCell ref="A423:A434"/>
    <mergeCell ref="A148:A235"/>
    <mergeCell ref="B416:B422"/>
    <mergeCell ref="B402:B408"/>
    <mergeCell ref="B260:B271"/>
    <mergeCell ref="B217:B223"/>
    <mergeCell ref="B423:B434"/>
    <mergeCell ref="B300:B306"/>
    <mergeCell ref="A236:A339"/>
    <mergeCell ref="A389:A422"/>
    <mergeCell ref="B237:B247"/>
    <mergeCell ref="B184:B195"/>
    <mergeCell ref="B172:B183"/>
    <mergeCell ref="B224:B235"/>
    <mergeCell ref="B196:B202"/>
    <mergeCell ref="B136:B147"/>
    <mergeCell ref="B203:B209"/>
    <mergeCell ref="B210:B216"/>
    <mergeCell ref="B160:B171"/>
    <mergeCell ref="B149:B159"/>
    <mergeCell ref="A8:O8"/>
    <mergeCell ref="A1:O1"/>
    <mergeCell ref="A2:O2"/>
    <mergeCell ref="L3:O6"/>
    <mergeCell ref="C150:C159"/>
    <mergeCell ref="A19:A30"/>
    <mergeCell ref="C83:C92"/>
    <mergeCell ref="A31:A42"/>
    <mergeCell ref="B31:B42"/>
    <mergeCell ref="B93:B104"/>
    <mergeCell ref="B44:B54"/>
    <mergeCell ref="B106:B116"/>
    <mergeCell ref="A43:A104"/>
    <mergeCell ref="A105:A135"/>
    <mergeCell ref="E131:N135"/>
    <mergeCell ref="C129:C131"/>
    <mergeCell ref="B129:B135"/>
    <mergeCell ref="B19:B30"/>
    <mergeCell ref="C95:C104"/>
    <mergeCell ref="B117:B128"/>
    <mergeCell ref="B81:B92"/>
    <mergeCell ref="A16:O16"/>
    <mergeCell ref="A17:O17"/>
    <mergeCell ref="A18:O18"/>
    <mergeCell ref="B74:B80"/>
    <mergeCell ref="A12:A14"/>
    <mergeCell ref="B12:B14"/>
    <mergeCell ref="D12:D14"/>
    <mergeCell ref="E69:N73"/>
    <mergeCell ref="E12:F13"/>
    <mergeCell ref="G12:N12"/>
    <mergeCell ref="B55:B66"/>
    <mergeCell ref="B67:B73"/>
    <mergeCell ref="C58:C66"/>
    <mergeCell ref="C67:C69"/>
    <mergeCell ref="C423:C434"/>
    <mergeCell ref="C321:C323"/>
    <mergeCell ref="C314:C316"/>
    <mergeCell ref="C307:C309"/>
    <mergeCell ref="C368:C375"/>
    <mergeCell ref="C380:C387"/>
    <mergeCell ref="C406:C408"/>
    <mergeCell ref="C420:C422"/>
    <mergeCell ref="C300:C302"/>
    <mergeCell ref="C12:C14"/>
    <mergeCell ref="C136:C147"/>
    <mergeCell ref="C210:C212"/>
    <mergeCell ref="C203:C205"/>
    <mergeCell ref="C196:C198"/>
    <mergeCell ref="C279:C281"/>
    <mergeCell ref="C272:C274"/>
    <mergeCell ref="C107:C116"/>
    <mergeCell ref="C120:C128"/>
    <mergeCell ref="B248:B259"/>
    <mergeCell ref="B328:B339"/>
    <mergeCell ref="B321:B327"/>
    <mergeCell ref="B279:B285"/>
    <mergeCell ref="B307:B313"/>
    <mergeCell ref="B272:B278"/>
    <mergeCell ref="I437:J437"/>
    <mergeCell ref="I436:J436"/>
    <mergeCell ref="B436:E436"/>
    <mergeCell ref="B286:B292"/>
    <mergeCell ref="B437:E437"/>
    <mergeCell ref="C392:C394"/>
    <mergeCell ref="E316:N320"/>
    <mergeCell ref="E323:N327"/>
    <mergeCell ref="B314:B320"/>
    <mergeCell ref="B293:B299"/>
    <mergeCell ref="O12:O13"/>
    <mergeCell ref="G13:H13"/>
    <mergeCell ref="I13:J13"/>
    <mergeCell ref="K13:L13"/>
    <mergeCell ref="M13:N13"/>
    <mergeCell ref="C186:C188"/>
    <mergeCell ref="E189:N189"/>
    <mergeCell ref="O43:O104"/>
    <mergeCell ref="O19:O30"/>
    <mergeCell ref="O31:O42"/>
    <mergeCell ref="C21:C30"/>
    <mergeCell ref="C33:C42"/>
    <mergeCell ref="C45:C54"/>
    <mergeCell ref="C174:C183"/>
    <mergeCell ref="O105:O135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2018-09-13T03:19:23Z</cp:lastPrinted>
  <dcterms:created xsi:type="dcterms:W3CDTF">2014-06-24T05:35:40Z</dcterms:created>
  <dcterms:modified xsi:type="dcterms:W3CDTF">2019-03-28T05:23:19Z</dcterms:modified>
  <cp:category/>
  <cp:version/>
  <cp:contentType/>
  <cp:contentStatus/>
</cp:coreProperties>
</file>