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8" windowWidth="19320" windowHeight="7872" activeTab="0"/>
  </bookViews>
  <sheets>
    <sheet name="Лист1" sheetId="1" r:id="rId1"/>
  </sheets>
  <definedNames>
    <definedName name="_xlnm.Print_Titles" localSheetId="0">'Лист1'!$13:$15</definedName>
  </definedNames>
  <calcPr fullCalcOnLoad="1"/>
</workbook>
</file>

<file path=xl/comments1.xml><?xml version="1.0" encoding="utf-8"?>
<comments xmlns="http://schemas.openxmlformats.org/spreadsheetml/2006/main">
  <authors>
    <author>Володина Лидия Михайловна</author>
    <author>Шаталина Татьяна Евгеньевна</author>
    <author>Shatalina</author>
  </authors>
  <commentList>
    <comment ref="K68" authorId="0">
      <text>
        <r>
          <rPr>
            <b/>
            <sz val="8"/>
            <rFont val="Tahoma"/>
            <family val="2"/>
          </rPr>
          <t>Софинансирование, подали заявку.</t>
        </r>
      </text>
    </comment>
    <comment ref="H334" authorId="1">
      <text>
        <r>
          <rPr>
            <b/>
            <sz val="8"/>
            <rFont val="Tahoma"/>
            <family val="2"/>
          </rPr>
          <t xml:space="preserve">890 фнр к дню победы
</t>
        </r>
      </text>
    </comment>
    <comment ref="G185" authorId="0">
      <text>
        <r>
          <rPr>
            <b/>
            <sz val="8"/>
            <rFont val="Tahoma"/>
            <family val="2"/>
          </rPr>
          <t>Для софинансирования 418,0</t>
        </r>
      </text>
    </comment>
    <comment ref="K185" authorId="0">
      <text>
        <r>
          <rPr>
            <b/>
            <sz val="8"/>
            <rFont val="Tahoma"/>
            <family val="2"/>
          </rPr>
          <t xml:space="preserve">Софинансирование, заявку подали.
</t>
        </r>
      </text>
    </comment>
    <comment ref="M69" authorId="2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c ост. на нач года</t>
        </r>
      </text>
    </comment>
  </commentList>
</comments>
</file>

<file path=xl/sharedStrings.xml><?xml version="1.0" encoding="utf-8"?>
<sst xmlns="http://schemas.openxmlformats.org/spreadsheetml/2006/main" count="572" uniqueCount="131">
  <si>
    <t>№</t>
  </si>
  <si>
    <t>Срок исполнения</t>
  </si>
  <si>
    <t>В том числе, за счет средств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</si>
  <si>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</si>
  <si>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</si>
  <si>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</si>
  <si>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</si>
  <si>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</si>
  <si>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</si>
  <si>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</si>
  <si>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 xml:space="preserve">Организация библиотечного обслуживания населения 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</si>
  <si>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</si>
  <si>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</si>
  <si>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</si>
  <si>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</si>
  <si>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</si>
  <si>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</si>
  <si>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</si>
  <si>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t>3.</t>
  </si>
  <si>
    <t>4.</t>
  </si>
  <si>
    <t>ДК "Светлый" 2017 год</t>
  </si>
  <si>
    <t>ДК "Томский перекресток" 2018 год</t>
  </si>
  <si>
    <t>1.1.1. Обеспечение беспрепятственного доступа населения к информационно-библиотечным ресурсам</t>
  </si>
  <si>
    <t>1.1.2.Приобретение доступа к полнотекстовым базам книг и периодических изданий</t>
  </si>
  <si>
    <t>1.2.1. Обеспечение равного доступа к культурным ценностям посредством предоставления музейных услуг</t>
  </si>
  <si>
    <t>1.</t>
  </si>
  <si>
    <t>1.3.7. Разработка проектно-сметной документации на проведение капитального ремонта и капитальный ремонт  ДШИ №1, ДМШ №2</t>
  </si>
  <si>
    <t>1.4.1. Предоставление культурно-досуговых услуг.</t>
  </si>
  <si>
    <t>1.4.2. Создание условий для организации пляжного отдыха</t>
  </si>
  <si>
    <t>1.4.3. Приобретение светотехнического и звукотехнического оборудования</t>
  </si>
  <si>
    <t xml:space="preserve">1.4.5. Разработка проектно-сметной документации на проведение капитального ремонта и капитальный ремонт ДК «Маяк» ДК "Светлый" 2017 год ДК "Томский перекресток" 2018 год
</t>
  </si>
  <si>
    <t>1.4.6. Строительство МКОЦ «Степановский»</t>
  </si>
  <si>
    <t>Объем финансирования (тыс. руб.)</t>
  </si>
  <si>
    <t>1.4.6. Проведение городского конкурса творческих проектов</t>
  </si>
  <si>
    <t>1.4.7. Создание условий для сохранения и развития исполнительских искусств</t>
  </si>
  <si>
    <t>1.4.8. Поддержка мероприятий, посвящённых значимым событиям российской культуры и развитию культурного сотрудничества</t>
  </si>
  <si>
    <t>1.3.7. Обеспечение пожарной безопасности МОУ ДО</t>
  </si>
  <si>
    <t>1.1.3. Разработка проектно-сметной документации на проведение капитального ремонта и капитальный ремонт муниципальной библиотеки ( далее-МБ) "Кольцевая", МБ "Эврика" 2017 год . МБ "Лада" 2018 год</t>
  </si>
  <si>
    <t>1.4.9. Обеспечение пожарной безопасности культурно-досуговых учреждений</t>
  </si>
  <si>
    <t>1.1.3 .Обеспечение пожарной безопасности муниципальных библиотек</t>
  </si>
  <si>
    <t>1.4.5. Создание условий для сохранения и развития традиционной народной культуры, нематериального культурного наследия (организация участия творческих коллективов и солистов в конкурсах различных уровней, гастрольных поездках, пошив концертных костюмов, организация конкурсов и концертных программ )</t>
  </si>
  <si>
    <t>1.1.4.Организация трудоустройства несовершеннолетних детей в каникулярное время</t>
  </si>
  <si>
    <r>
      <t>Цель:</t>
    </r>
    <r>
      <rPr>
        <sz val="10"/>
        <color indexed="8"/>
        <rFont val="Times New Roman"/>
        <family val="1"/>
      </rPr>
      <t xml:space="preserve"> Повышение качества и доступности услуг в сфере культуры</t>
    </r>
  </si>
  <si>
    <t xml:space="preserve">Задача 1.1 </t>
  </si>
  <si>
    <t>Задача 1.2.</t>
  </si>
  <si>
    <t>Задача 1.3.</t>
  </si>
  <si>
    <t xml:space="preserve">Задача  1.4. </t>
  </si>
  <si>
    <t>ПЕРЕЧЕНЬ МЕРОПРИЯТИЙ И РЕСУРСНОЕ ОБЕСПЕЧЕНИЕ  ПОДПРОГРАММЫ 1 "РАЗВИТИЕ КУЛЬТУРЫ"</t>
  </si>
  <si>
    <t xml:space="preserve">Итого по Подпрограмме 1 </t>
  </si>
  <si>
    <t>2.</t>
  </si>
  <si>
    <t>1.4.4. Приобретение передвижных сценических площадок, навесов, другого оборудования для уличных мероприятий</t>
  </si>
  <si>
    <t>1.2.3. Проведение мероприятий по обеспечению противопожарной безопасности в  музее.</t>
  </si>
  <si>
    <t>Код бюджетной классификации (КЦСР, КВР)</t>
  </si>
  <si>
    <t>КЦСР 0310100590,           КВР 622</t>
  </si>
  <si>
    <t>КЦСР 0310100590,          КВР 621,622</t>
  </si>
  <si>
    <t>КЦСР 0310100590,          КВР 622</t>
  </si>
  <si>
    <t>-</t>
  </si>
  <si>
    <t>КЦСР 0310200590,          КВР 622, 612</t>
  </si>
  <si>
    <t>КЦСР 0310200000, КВР 000</t>
  </si>
  <si>
    <t>КЦСР 0310100000, КВР 000</t>
  </si>
  <si>
    <t>1.3.2. Обеспечение муниципальных учреждений дополнительного образования музыкальными инструментами</t>
  </si>
  <si>
    <t>1.3.3. Обеспечение муниципальных учреждений дополнительного образования специальным оборудованием</t>
  </si>
  <si>
    <t xml:space="preserve">1.3.1. Предоставление дополнительного образования </t>
  </si>
  <si>
    <t>КЦСР 0310200590,           КВР 622,  612, 611, 621</t>
  </si>
  <si>
    <t>план</t>
  </si>
  <si>
    <t>КЦСР 03 1 01 00000,               КВР 000</t>
  </si>
  <si>
    <t>КЦСР 03 1 0000,               КВР 000</t>
  </si>
  <si>
    <t>КЦСР 0310100590, 0310140650, 0310140660,               КВР 621,622</t>
  </si>
  <si>
    <t>КЦСР 0316406,                             0316405,                                                       0310059                      КВР 621, 622</t>
  </si>
  <si>
    <t>КЦСР 0310059,           КВР 622</t>
  </si>
  <si>
    <t xml:space="preserve">КЦСР 03 1 01 00000,                  КВР 000 </t>
  </si>
  <si>
    <t>КЦСР 0310100590, 0310140650, 0310140660,               КВР 621, 622</t>
  </si>
  <si>
    <t>КЦСР 0316406,                             0316405,                                                       0310059,                    КВР 621, 622</t>
  </si>
  <si>
    <t>КЦСР 00 0 0000, КВР 000</t>
  </si>
  <si>
    <t>КЦСР 03 1 02 00000,                 КВР 000</t>
  </si>
  <si>
    <t>КЦСР 0316505, 0316309,      0316012,      0310059,            КВР 611, 612, 621, 622</t>
  </si>
  <si>
    <t>КЦСР  0310240400, 0310240530, 0310240670, 0310200590,             КВР 611,612, 621, 622</t>
  </si>
  <si>
    <t>КЦСР 0310059,           КВР 622, 621,  612,611</t>
  </si>
  <si>
    <t>КЦСР 0310059,           КВР 622, 612</t>
  </si>
  <si>
    <t xml:space="preserve">КЦСР 03 1 01 00000,                      КВР 000 </t>
  </si>
  <si>
    <t>КЦСР 0310059,           КВР 621, 622</t>
  </si>
  <si>
    <t>КЦСР 0310100590,           КВР 622, 621</t>
  </si>
  <si>
    <t>КЦСР 03 1 01 20380 КВР 244</t>
  </si>
  <si>
    <t>КЦСР 0310100590, 03101S0650,                 03101S0660, 0310140650, 0310140660,               КВР 621,622</t>
  </si>
  <si>
    <t>КЦСР 0310100590, 03101S0650,                 03101S0660, 0310140650, 0310140660,                КВР 621,622</t>
  </si>
  <si>
    <t>КЦСР 0310100590, 03101S0650,                 03101S0660, 0310140650, 0310140660, 03101L4670                КВР 621,622</t>
  </si>
  <si>
    <t>УК</t>
  </si>
  <si>
    <t>АКР</t>
  </si>
  <si>
    <t>АЛР</t>
  </si>
  <si>
    <t>АОР</t>
  </si>
  <si>
    <t>АСР</t>
  </si>
  <si>
    <t>Наименования целей, задач, ведомственных целевых программ,  мероприятий муниципальной подпрограммы</t>
  </si>
  <si>
    <t>1.4.10. Организация и проведение Администрацией Кировского района Города Томска социально значимых мероприятий</t>
  </si>
  <si>
    <t>1.4.11. Организация и проведение Администрацией  Ленинского района Города Томска социально значимых мероприятий</t>
  </si>
  <si>
    <t>1.4.12. Организация и проведение Администрацией Октябрьского района Города Томска социально значимых мероприятий</t>
  </si>
  <si>
    <t>1.4.13. Организация и проведение Администрацией Советского района Города Томска социально значимых мероприятий</t>
  </si>
  <si>
    <t>Основное мероприятие "Организация предоставления услуг в области культуры" (решается в рамках задач 1.1, 1.2, 1.4)</t>
  </si>
  <si>
    <t>2021 год</t>
  </si>
  <si>
    <t>2022 год</t>
  </si>
  <si>
    <t>2023 год</t>
  </si>
  <si>
    <t>2024 год</t>
  </si>
  <si>
    <t>2025 год</t>
  </si>
  <si>
    <t>Приложение 2 к Подпрограмме 1 «Развитие культуры» муниципальной программы «Развитие культуры и туризма» муниципального образования «Город Томск» на 2015 - 2025 годы»</t>
  </si>
  <si>
    <t>УК    АКР
АЛР
АОР
АСР</t>
  </si>
  <si>
    <t xml:space="preserve"> Организация  музейного обслуживания  населения</t>
  </si>
  <si>
    <t>Организация предоставления  культурно- досуговых услуг</t>
  </si>
  <si>
    <t xml:space="preserve"> с 01.01.2016 мероприятие реализуется в рамках мероприятия 1.1.1. Обеспечение беспрепятственного доступа населения к информационно-библиотечным ресурсам</t>
  </si>
  <si>
    <t>с 01.01.2016 мероприятие реализуется в рамках мероприятия 1.2.1. Обеспечение равного доступа к культурным ценностям посредством предоставления музейных услуг</t>
  </si>
  <si>
    <t>с 01.01.2016 мероприятия реализуются в рамках мероприятия 1.3.1. Предоставление дополнительного образования</t>
  </si>
  <si>
    <t>с 01.01.2016 мероприятия реализуются в рамках мероприятия 1.4.1. Предоставление культурно-досуговых услуг</t>
  </si>
  <si>
    <t>с 01.01.2016 мероприятие реализуется в рамках подпрограммы IV.III "Организация и обеспечение эффективного функционирования сети учреждений"</t>
  </si>
  <si>
    <t>с 01.01.2016 мероприятие реализуется в рамках мероприятия 1.4.1. Предоставление культурно-досуговых услуг</t>
  </si>
  <si>
    <t>1.2.2. Оцифровка и электронная каталогизация музейного фонда Музея истории Томска</t>
  </si>
  <si>
    <t xml:space="preserve">1.3.4. Внедрение современных информационных технологий в образовательный процесс    </t>
  </si>
  <si>
    <t xml:space="preserve">1.3.5. Совершенствование системы образовательного процесса </t>
  </si>
  <si>
    <t>1.3.6. Развитие и поддержка творческих коллективов, одаренных детей и молодежи  в МОУ ДО</t>
  </si>
  <si>
    <t xml:space="preserve">  Основное мероприятие  "Организация предоставления
дополнительного образования художественно-
эстетической направленности детям" (решается в рамках задачи 1.3)       </t>
  </si>
  <si>
    <t xml:space="preserve">Организация предоставления дополнительного образования художественно-эстетической направленности </t>
  </si>
  <si>
    <t>КЦСР 0310200590, 03102S0400, 0310240530, 03102S0670, 0310240670, 0310240400,     0310240690, 03102L5190                КВР 611,612, 621, 622</t>
  </si>
  <si>
    <t>КЦСР 0310200590,  03102L5190            КВР 622, 621,  612,611</t>
  </si>
  <si>
    <t>08 01(без район и без 161,2)</t>
  </si>
  <si>
    <t>с 01.01.2019 мероприятия реализуются в рамках мероприятия 1.3.1. Предоставление дополнительного образования</t>
  </si>
  <si>
    <t>Задача  1.5</t>
  </si>
  <si>
    <t>Реализация регионального проекта «Культурная среда» национального проекта  «Культура»</t>
  </si>
  <si>
    <t>1.5.1.Создание модельных муниципальных библиотек по результатам конкурсного отбора, проводимого Министерством культуры Российской Федерации</t>
  </si>
  <si>
    <t>КЦСР 03 1 А1 00000, КВР 000</t>
  </si>
  <si>
    <t xml:space="preserve">Основное мероприятие  «Реализация регионального проекта «Культурная среда» национального проекта  «Культура» (решается в рамках задачи 1.5) </t>
  </si>
  <si>
    <t>КЦСР 03 1 А1 54540 КВР 622</t>
  </si>
  <si>
    <t xml:space="preserve">КЦСР 03 1 А1  00000,     КВР 000 </t>
  </si>
  <si>
    <t xml:space="preserve">Приложение 5 к постановлению
администрации Города Томска от    №
</t>
  </si>
  <si>
    <t>администрации Города Томска от 13.02.2020 № 146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</si>
</sst>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_р_._-;\-* #,##0.0_р_._-;_-* &quot;-&quot;?_р_._-;_-@_-"/>
    <numFmt numFmtId="165" formatCode="_-* #,##0.0\ _₽_-;\-* #,##0.0\ _₽_-;_-* &quot;-&quot;?\ _₽_-;_-@_-"/>
    <numFmt numFmtId="166" formatCode="#,##0.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0"/>
    <numFmt numFmtId="174" formatCode="0.000000000"/>
  </numFmts>
  <fonts count="50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name val="Tahoma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.8"/>
      <color indexed="12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.8"/>
      <color indexed="20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.8"/>
      <color theme="10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.8"/>
      <color theme="1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2" fillId="30" borderId="8" applyNumberFormat="0" applyFont="0" applyAlignment="0" applyProtection="0"/>
    <xf numFmtId="9" fontId="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23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66" fontId="5" fillId="0" borderId="10" xfId="0" applyNumberFormat="1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textRotation="90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8" fillId="0" borderId="12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textRotation="90" wrapText="1"/>
    </xf>
    <xf numFmtId="0" fontId="0" fillId="0" borderId="0" xfId="0" applyFill="1" applyAlignment="1">
      <alignment horizontal="left"/>
    </xf>
    <xf numFmtId="164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 wrapText="1"/>
    </xf>
    <xf numFmtId="165" fontId="6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/>
    </xf>
    <xf numFmtId="166" fontId="6" fillId="0" borderId="0" xfId="0" applyNumberFormat="1" applyFont="1" applyFill="1" applyAlignment="1">
      <alignment/>
    </xf>
    <xf numFmtId="0" fontId="2" fillId="0" borderId="0" xfId="0" applyFont="1" applyFill="1" applyAlignment="1">
      <alignment vertical="center"/>
    </xf>
    <xf numFmtId="166" fontId="0" fillId="0" borderId="0" xfId="0" applyNumberFormat="1" applyFill="1" applyAlignment="1">
      <alignment/>
    </xf>
    <xf numFmtId="0" fontId="3" fillId="0" borderId="11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4" fontId="0" fillId="0" borderId="0" xfId="0" applyNumberFormat="1" applyFill="1" applyAlignment="1">
      <alignment horizontal="center" vertical="center"/>
    </xf>
    <xf numFmtId="0" fontId="3" fillId="0" borderId="14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166" fontId="0" fillId="0" borderId="0" xfId="0" applyNumberFormat="1" applyFill="1" applyAlignment="1">
      <alignment horizontal="center" vertical="center"/>
    </xf>
    <xf numFmtId="4" fontId="6" fillId="32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/>
    </xf>
    <xf numFmtId="1" fontId="6" fillId="0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66" fontId="6" fillId="0" borderId="0" xfId="0" applyNumberFormat="1" applyFont="1" applyFill="1" applyAlignment="1">
      <alignment horizontal="center" vertical="center"/>
    </xf>
    <xf numFmtId="166" fontId="5" fillId="0" borderId="11" xfId="0" applyNumberFormat="1" applyFont="1" applyFill="1" applyBorder="1" applyAlignment="1">
      <alignment vertical="center" wrapText="1"/>
    </xf>
    <xf numFmtId="0" fontId="6" fillId="32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66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166" fontId="3" fillId="0" borderId="10" xfId="0" applyNumberFormat="1" applyFont="1" applyFill="1" applyBorder="1" applyAlignment="1">
      <alignment horizontal="center" vertical="center" wrapText="1"/>
    </xf>
    <xf numFmtId="166" fontId="6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 horizontal="center"/>
    </xf>
    <xf numFmtId="166" fontId="5" fillId="0" borderId="11" xfId="0" applyNumberFormat="1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textRotation="90" wrapText="1"/>
    </xf>
    <xf numFmtId="1" fontId="6" fillId="0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textRotation="90" wrapText="1"/>
    </xf>
    <xf numFmtId="166" fontId="3" fillId="0" borderId="16" xfId="0" applyNumberFormat="1" applyFont="1" applyFill="1" applyBorder="1" applyAlignment="1">
      <alignment horizontal="center" vertical="center" wrapText="1"/>
    </xf>
    <xf numFmtId="166" fontId="3" fillId="0" borderId="17" xfId="0" applyNumberFormat="1" applyFont="1" applyFill="1" applyBorder="1" applyAlignment="1">
      <alignment horizontal="center" vertical="center" wrapText="1"/>
    </xf>
    <xf numFmtId="166" fontId="3" fillId="0" borderId="15" xfId="0" applyNumberFormat="1" applyFont="1" applyFill="1" applyBorder="1" applyAlignment="1">
      <alignment horizontal="center" vertical="center" wrapText="1"/>
    </xf>
    <xf numFmtId="166" fontId="3" fillId="0" borderId="18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166" fontId="3" fillId="0" borderId="11" xfId="0" applyNumberFormat="1" applyFont="1" applyFill="1" applyBorder="1" applyAlignment="1">
      <alignment horizontal="center" vertical="center" wrapText="1"/>
    </xf>
    <xf numFmtId="166" fontId="3" fillId="0" borderId="19" xfId="0" applyNumberFormat="1" applyFont="1" applyFill="1" applyBorder="1" applyAlignment="1">
      <alignment horizontal="center" vertical="center" wrapText="1"/>
    </xf>
    <xf numFmtId="166" fontId="3" fillId="0" borderId="20" xfId="0" applyNumberFormat="1" applyFont="1" applyFill="1" applyBorder="1" applyAlignment="1">
      <alignment horizontal="center" vertical="center" wrapText="1"/>
    </xf>
    <xf numFmtId="166" fontId="3" fillId="0" borderId="2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textRotation="90"/>
    </xf>
    <xf numFmtId="0" fontId="3" fillId="0" borderId="13" xfId="0" applyFont="1" applyFill="1" applyBorder="1" applyAlignment="1">
      <alignment horizontal="center" vertical="center" textRotation="90"/>
    </xf>
    <xf numFmtId="0" fontId="3" fillId="0" borderId="10" xfId="0" applyFont="1" applyFill="1" applyBorder="1" applyAlignment="1">
      <alignment horizontal="center" vertical="center" textRotation="90"/>
    </xf>
    <xf numFmtId="0" fontId="3" fillId="0" borderId="0" xfId="0" applyFont="1" applyFill="1" applyAlignment="1">
      <alignment horizontal="center"/>
    </xf>
    <xf numFmtId="0" fontId="9" fillId="0" borderId="12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U474"/>
  <sheetViews>
    <sheetView tabSelected="1" zoomScale="85" zoomScaleNormal="85" zoomScalePageLayoutView="0" workbookViewId="0" topLeftCell="A1">
      <selection activeCell="A2" sqref="A2:O2"/>
    </sheetView>
  </sheetViews>
  <sheetFormatPr defaultColWidth="9.00390625" defaultRowHeight="15.75"/>
  <cols>
    <col min="1" max="1" width="3.875" style="5" customWidth="1"/>
    <col min="2" max="2" width="19.375" style="23" customWidth="1"/>
    <col min="3" max="3" width="14.75390625" style="40" customWidth="1"/>
    <col min="4" max="4" width="9.00390625" style="40" customWidth="1"/>
    <col min="5" max="5" width="11.50390625" style="13" customWidth="1"/>
    <col min="6" max="6" width="11.25390625" style="13" customWidth="1"/>
    <col min="7" max="7" width="11.00390625" style="40" customWidth="1"/>
    <col min="8" max="9" width="11.75390625" style="40" customWidth="1"/>
    <col min="10" max="10" width="6.375" style="40" customWidth="1"/>
    <col min="11" max="11" width="10.75390625" style="40" customWidth="1"/>
    <col min="12" max="13" width="9.875" style="40" customWidth="1"/>
    <col min="14" max="14" width="8.00390625" style="40" bestFit="1" customWidth="1"/>
    <col min="15" max="15" width="8.125" style="25" customWidth="1"/>
    <col min="16" max="16" width="8.00390625" style="5" bestFit="1" customWidth="1"/>
    <col min="17" max="17" width="26.25390625" style="5" hidden="1" customWidth="1"/>
    <col min="18" max="18" width="10.50390625" style="5" hidden="1" customWidth="1"/>
    <col min="19" max="19" width="4.75390625" style="5" hidden="1" customWidth="1"/>
    <col min="20" max="22" width="19.25390625" style="5" customWidth="1"/>
    <col min="23" max="25" width="19.25390625" style="5" hidden="1" customWidth="1"/>
    <col min="26" max="27" width="19.25390625" style="5" customWidth="1"/>
    <col min="28" max="28" width="10.125" style="5" bestFit="1" customWidth="1"/>
    <col min="29" max="29" width="0" style="5" hidden="1" customWidth="1"/>
    <col min="30" max="30" width="10.125" style="5" bestFit="1" customWidth="1"/>
    <col min="31" max="31" width="9.75390625" style="5" bestFit="1" customWidth="1"/>
    <col min="32" max="32" width="9.125" style="5" bestFit="1" customWidth="1"/>
    <col min="33" max="16384" width="9.00390625" style="5" customWidth="1"/>
  </cols>
  <sheetData>
    <row r="1" spans="1:15" ht="15.75">
      <c r="A1" s="118" t="s">
        <v>129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15" ht="15.75">
      <c r="A2" s="119" t="s">
        <v>130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</row>
    <row r="3" spans="1:15" ht="15.75">
      <c r="A3" s="26"/>
      <c r="L3" s="120" t="s">
        <v>102</v>
      </c>
      <c r="M3" s="120"/>
      <c r="N3" s="120"/>
      <c r="O3" s="120"/>
    </row>
    <row r="4" spans="1:15" ht="15.75">
      <c r="A4" s="26"/>
      <c r="L4" s="120"/>
      <c r="M4" s="120"/>
      <c r="N4" s="120"/>
      <c r="O4" s="120"/>
    </row>
    <row r="5" spans="1:15" ht="15.75">
      <c r="A5" s="26"/>
      <c r="L5" s="120"/>
      <c r="M5" s="120"/>
      <c r="N5" s="120"/>
      <c r="O5" s="120"/>
    </row>
    <row r="6" spans="1:15" ht="63" customHeight="1">
      <c r="A6" s="26"/>
      <c r="L6" s="120"/>
      <c r="M6" s="120"/>
      <c r="N6" s="120"/>
      <c r="O6" s="120"/>
    </row>
    <row r="7" ht="15.75">
      <c r="A7" s="27"/>
    </row>
    <row r="8" spans="1:15" ht="15.75">
      <c r="A8" s="111" t="s">
        <v>47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</row>
    <row r="9" ht="15.75">
      <c r="A9" s="27"/>
    </row>
    <row r="10" ht="15" hidden="1">
      <c r="A10" s="27"/>
    </row>
    <row r="11" ht="15.75">
      <c r="A11" s="27"/>
    </row>
    <row r="12" spans="1:15" ht="15.75">
      <c r="A12" s="97" t="s">
        <v>0</v>
      </c>
      <c r="B12" s="70" t="s">
        <v>91</v>
      </c>
      <c r="C12" s="70" t="s">
        <v>52</v>
      </c>
      <c r="D12" s="97" t="s">
        <v>1</v>
      </c>
      <c r="E12" s="91" t="s">
        <v>32</v>
      </c>
      <c r="F12" s="91"/>
      <c r="G12" s="97" t="s">
        <v>2</v>
      </c>
      <c r="H12" s="97"/>
      <c r="I12" s="97"/>
      <c r="J12" s="97"/>
      <c r="K12" s="97"/>
      <c r="L12" s="97"/>
      <c r="M12" s="97"/>
      <c r="N12" s="97"/>
      <c r="O12" s="97" t="s">
        <v>3</v>
      </c>
    </row>
    <row r="13" spans="1:16" ht="43.5" customHeight="1">
      <c r="A13" s="97"/>
      <c r="B13" s="71"/>
      <c r="C13" s="71"/>
      <c r="D13" s="97"/>
      <c r="E13" s="91"/>
      <c r="F13" s="91"/>
      <c r="G13" s="97" t="s">
        <v>4</v>
      </c>
      <c r="H13" s="97"/>
      <c r="I13" s="97" t="s">
        <v>5</v>
      </c>
      <c r="J13" s="97"/>
      <c r="K13" s="97" t="s">
        <v>6</v>
      </c>
      <c r="L13" s="97"/>
      <c r="M13" s="97" t="s">
        <v>7</v>
      </c>
      <c r="N13" s="97"/>
      <c r="O13" s="97"/>
      <c r="P13" s="28"/>
    </row>
    <row r="14" spans="1:16" ht="91.5" customHeight="1">
      <c r="A14" s="97"/>
      <c r="B14" s="87"/>
      <c r="C14" s="87"/>
      <c r="D14" s="97"/>
      <c r="E14" s="1" t="s">
        <v>8</v>
      </c>
      <c r="F14" s="1" t="s">
        <v>9</v>
      </c>
      <c r="G14" s="1" t="s">
        <v>8</v>
      </c>
      <c r="H14" s="1" t="s">
        <v>9</v>
      </c>
      <c r="I14" s="1" t="s">
        <v>8</v>
      </c>
      <c r="J14" s="1" t="s">
        <v>9</v>
      </c>
      <c r="K14" s="1" t="s">
        <v>8</v>
      </c>
      <c r="L14" s="1" t="s">
        <v>9</v>
      </c>
      <c r="M14" s="1" t="s">
        <v>8</v>
      </c>
      <c r="N14" s="1" t="s">
        <v>64</v>
      </c>
      <c r="O14" s="1"/>
      <c r="P14" s="28"/>
    </row>
    <row r="15" spans="1:16" s="26" customFormat="1" ht="45" customHeight="1">
      <c r="A15" s="1">
        <v>1</v>
      </c>
      <c r="B15" s="1">
        <v>2</v>
      </c>
      <c r="C15" s="1">
        <v>3</v>
      </c>
      <c r="D15" s="1">
        <v>4</v>
      </c>
      <c r="E15" s="1">
        <v>5</v>
      </c>
      <c r="F15" s="1">
        <v>6</v>
      </c>
      <c r="G15" s="1">
        <v>7</v>
      </c>
      <c r="H15" s="1">
        <v>8</v>
      </c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29"/>
    </row>
    <row r="16" spans="1:16" s="40" customFormat="1" ht="15.75">
      <c r="A16" s="98" t="s">
        <v>42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30"/>
    </row>
    <row r="17" spans="1:16" ht="19.5" customHeight="1">
      <c r="A17" s="98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28"/>
    </row>
    <row r="18" spans="1:16" ht="16.5" customHeight="1" hidden="1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28"/>
    </row>
    <row r="19" spans="1:16" ht="16.5" customHeight="1">
      <c r="A19" s="115"/>
      <c r="B19" s="84" t="s">
        <v>96</v>
      </c>
      <c r="C19" s="13"/>
      <c r="D19" s="10" t="s">
        <v>11</v>
      </c>
      <c r="E19" s="2">
        <f>SUM(E20:E30)</f>
        <v>3369580.546</v>
      </c>
      <c r="F19" s="2">
        <f aca="true" t="shared" si="0" ref="F19:N19">SUM(F20:F30)</f>
        <v>1926896.726</v>
      </c>
      <c r="G19" s="2">
        <f t="shared" si="0"/>
        <v>2024206.1500000001</v>
      </c>
      <c r="H19" s="2">
        <f t="shared" si="0"/>
        <v>1283796.83</v>
      </c>
      <c r="I19" s="2">
        <f t="shared" si="0"/>
        <v>2676.3</v>
      </c>
      <c r="J19" s="2">
        <f t="shared" si="0"/>
        <v>518.5</v>
      </c>
      <c r="K19" s="2">
        <f t="shared" si="0"/>
        <v>946314.5959999999</v>
      </c>
      <c r="L19" s="2">
        <f t="shared" si="0"/>
        <v>349344.196</v>
      </c>
      <c r="M19" s="2">
        <f t="shared" si="0"/>
        <v>396383.49999999994</v>
      </c>
      <c r="N19" s="2">
        <f t="shared" si="0"/>
        <v>293237.2</v>
      </c>
      <c r="O19" s="72" t="s">
        <v>103</v>
      </c>
      <c r="P19" s="28"/>
    </row>
    <row r="20" spans="1:32" s="12" customFormat="1" ht="15.75" customHeight="1">
      <c r="A20" s="116"/>
      <c r="B20" s="85"/>
      <c r="D20" s="10" t="s">
        <v>12</v>
      </c>
      <c r="E20" s="2">
        <f aca="true" t="shared" si="1" ref="E20:E30">G20+I20+K20+M20</f>
        <v>243155.5</v>
      </c>
      <c r="F20" s="2">
        <f aca="true" t="shared" si="2" ref="F20:F30">H20+J20+L20+N20</f>
        <v>207312.2</v>
      </c>
      <c r="G20" s="2">
        <f aca="true" t="shared" si="3" ref="G20:N22">G56+G118+G249</f>
        <v>170316.8</v>
      </c>
      <c r="H20" s="2">
        <f t="shared" si="3"/>
        <v>138477.5</v>
      </c>
      <c r="I20" s="2">
        <f t="shared" si="3"/>
        <v>725</v>
      </c>
      <c r="J20" s="2">
        <f t="shared" si="3"/>
        <v>0</v>
      </c>
      <c r="K20" s="2">
        <f t="shared" si="3"/>
        <v>42070</v>
      </c>
      <c r="L20" s="2">
        <f t="shared" si="3"/>
        <v>38791</v>
      </c>
      <c r="M20" s="2">
        <f t="shared" si="3"/>
        <v>30043.699999999997</v>
      </c>
      <c r="N20" s="2">
        <f t="shared" si="3"/>
        <v>30043.699999999997</v>
      </c>
      <c r="O20" s="108"/>
      <c r="P20" s="31"/>
      <c r="AF20" s="34"/>
    </row>
    <row r="21" spans="1:16" s="12" customFormat="1" ht="15.75" customHeight="1">
      <c r="A21" s="116"/>
      <c r="B21" s="85"/>
      <c r="C21" s="91" t="s">
        <v>59</v>
      </c>
      <c r="D21" s="10" t="s">
        <v>13</v>
      </c>
      <c r="E21" s="2">
        <f t="shared" si="1"/>
        <v>234210.14999999997</v>
      </c>
      <c r="F21" s="2">
        <f t="shared" si="2"/>
        <v>219554.24</v>
      </c>
      <c r="G21" s="2">
        <f t="shared" si="3"/>
        <v>156692.44999999998</v>
      </c>
      <c r="H21" s="2">
        <f t="shared" si="3"/>
        <v>146006.53999999998</v>
      </c>
      <c r="I21" s="2">
        <f t="shared" si="3"/>
        <v>797.5</v>
      </c>
      <c r="J21" s="2">
        <f t="shared" si="3"/>
        <v>0</v>
      </c>
      <c r="K21" s="2">
        <f t="shared" si="3"/>
        <v>40827.4</v>
      </c>
      <c r="L21" s="2">
        <f t="shared" si="3"/>
        <v>37654.9</v>
      </c>
      <c r="M21" s="2">
        <f t="shared" si="3"/>
        <v>35892.8</v>
      </c>
      <c r="N21" s="2">
        <f t="shared" si="3"/>
        <v>35892.8</v>
      </c>
      <c r="O21" s="108"/>
      <c r="P21" s="4"/>
    </row>
    <row r="22" spans="1:26" s="12" customFormat="1" ht="15" customHeight="1">
      <c r="A22" s="116"/>
      <c r="B22" s="85"/>
      <c r="C22" s="91"/>
      <c r="D22" s="10" t="s">
        <v>14</v>
      </c>
      <c r="E22" s="2">
        <f t="shared" si="1"/>
        <v>278338.596</v>
      </c>
      <c r="F22" s="2">
        <f t="shared" si="2"/>
        <v>270093.196</v>
      </c>
      <c r="G22" s="2">
        <f t="shared" si="3"/>
        <v>164042.5</v>
      </c>
      <c r="H22" s="2">
        <f t="shared" si="3"/>
        <v>157321.8</v>
      </c>
      <c r="I22" s="2">
        <f t="shared" si="3"/>
        <v>635.3</v>
      </c>
      <c r="J22" s="2">
        <f t="shared" si="3"/>
        <v>0</v>
      </c>
      <c r="K22" s="2">
        <f t="shared" si="3"/>
        <v>72734.296</v>
      </c>
      <c r="L22" s="2">
        <f t="shared" si="3"/>
        <v>71844.896</v>
      </c>
      <c r="M22" s="2">
        <f t="shared" si="3"/>
        <v>40926.5</v>
      </c>
      <c r="N22" s="2">
        <f t="shared" si="3"/>
        <v>40926.5</v>
      </c>
      <c r="O22" s="108"/>
      <c r="P22" s="4"/>
      <c r="Q22" s="12" t="s">
        <v>120</v>
      </c>
      <c r="R22" s="32"/>
      <c r="S22" s="32"/>
      <c r="W22" s="33"/>
      <c r="X22" s="33"/>
      <c r="Z22" s="33"/>
    </row>
    <row r="23" spans="1:33" s="12" customFormat="1" ht="15.75">
      <c r="A23" s="116"/>
      <c r="B23" s="85"/>
      <c r="C23" s="91"/>
      <c r="D23" s="10" t="s">
        <v>15</v>
      </c>
      <c r="E23" s="2">
        <f t="shared" si="1"/>
        <v>312004.6</v>
      </c>
      <c r="F23" s="2">
        <f t="shared" si="2"/>
        <v>299953</v>
      </c>
      <c r="G23" s="2">
        <f aca="true" t="shared" si="4" ref="G23:N25">G59+G121+G252+G404</f>
        <v>174340.5</v>
      </c>
      <c r="H23" s="2">
        <f t="shared" si="4"/>
        <v>162288.90000000002</v>
      </c>
      <c r="I23" s="2">
        <f t="shared" si="4"/>
        <v>518.5</v>
      </c>
      <c r="J23" s="2">
        <f t="shared" si="4"/>
        <v>518.5</v>
      </c>
      <c r="K23" s="2">
        <f t="shared" si="4"/>
        <v>98216.8</v>
      </c>
      <c r="L23" s="2">
        <f t="shared" si="4"/>
        <v>98216.8</v>
      </c>
      <c r="M23" s="2">
        <f t="shared" si="4"/>
        <v>38928.8</v>
      </c>
      <c r="N23" s="2">
        <f t="shared" si="4"/>
        <v>38928.8</v>
      </c>
      <c r="O23" s="108"/>
      <c r="P23" s="4"/>
      <c r="Q23" s="33">
        <f>H23-H109-H356-H368-H380-H392</f>
        <v>151700.30000000002</v>
      </c>
      <c r="R23" s="33"/>
      <c r="S23" s="33"/>
      <c r="U23" s="33"/>
      <c r="V23" s="33"/>
      <c r="AA23" s="33"/>
      <c r="AB23" s="33"/>
      <c r="AD23" s="33"/>
      <c r="AE23" s="33"/>
      <c r="AF23" s="34"/>
      <c r="AG23" s="34"/>
    </row>
    <row r="24" spans="1:32" s="12" customFormat="1" ht="15.75">
      <c r="A24" s="116"/>
      <c r="B24" s="85"/>
      <c r="C24" s="91"/>
      <c r="D24" s="10" t="s">
        <v>16</v>
      </c>
      <c r="E24" s="2">
        <f t="shared" si="1"/>
        <v>315757.4</v>
      </c>
      <c r="F24" s="2">
        <f t="shared" si="2"/>
        <v>309435.2</v>
      </c>
      <c r="G24" s="2">
        <f t="shared" si="4"/>
        <v>176014.09999999998</v>
      </c>
      <c r="H24" s="2">
        <f>H60+H122+H253+H405</f>
        <v>170764.59999999998</v>
      </c>
      <c r="I24" s="2">
        <f t="shared" si="4"/>
        <v>0</v>
      </c>
      <c r="J24" s="2">
        <f t="shared" si="4"/>
        <v>0</v>
      </c>
      <c r="K24" s="2">
        <f t="shared" si="4"/>
        <v>99397.9</v>
      </c>
      <c r="L24" s="2">
        <f t="shared" si="4"/>
        <v>98325.2</v>
      </c>
      <c r="M24" s="2">
        <f t="shared" si="4"/>
        <v>40345.4</v>
      </c>
      <c r="N24" s="2">
        <f t="shared" si="4"/>
        <v>40345.4</v>
      </c>
      <c r="O24" s="108"/>
      <c r="P24" s="4"/>
      <c r="Q24" s="46">
        <f>H24-H110-H357-H369-H381-H393</f>
        <v>159169.79999999996</v>
      </c>
      <c r="R24" s="33">
        <v>159169.8</v>
      </c>
      <c r="S24" s="33">
        <f>R24-Q24</f>
        <v>0</v>
      </c>
      <c r="U24" s="33"/>
      <c r="V24" s="33"/>
      <c r="W24" s="34">
        <f>H24-H357-H369-H381-H393</f>
        <v>159330.99999999997</v>
      </c>
      <c r="X24" s="34">
        <f>156525.9+161.2</f>
        <v>156687.1</v>
      </c>
      <c r="Y24" s="34">
        <f>W24-X24</f>
        <v>2643.899999999965</v>
      </c>
      <c r="AA24" s="33"/>
      <c r="AB24" s="33"/>
      <c r="AF24" s="34"/>
    </row>
    <row r="25" spans="1:32" s="12" customFormat="1" ht="15.75">
      <c r="A25" s="116"/>
      <c r="B25" s="85"/>
      <c r="C25" s="91"/>
      <c r="D25" s="10" t="s">
        <v>17</v>
      </c>
      <c r="E25" s="2">
        <f t="shared" si="1"/>
        <v>334313.8</v>
      </c>
      <c r="F25" s="2">
        <f t="shared" si="2"/>
        <v>211265.99</v>
      </c>
      <c r="G25" s="2">
        <f t="shared" si="4"/>
        <v>197133.3</v>
      </c>
      <c r="H25" s="2">
        <f t="shared" si="4"/>
        <v>170674.49</v>
      </c>
      <c r="I25" s="2">
        <f t="shared" si="4"/>
        <v>0</v>
      </c>
      <c r="J25" s="2">
        <f t="shared" si="4"/>
        <v>0</v>
      </c>
      <c r="K25" s="2">
        <f t="shared" si="4"/>
        <v>98844.70000000001</v>
      </c>
      <c r="L25" s="2">
        <f t="shared" si="4"/>
        <v>2255.7</v>
      </c>
      <c r="M25" s="2">
        <f t="shared" si="4"/>
        <v>38335.8</v>
      </c>
      <c r="N25" s="2">
        <f t="shared" si="4"/>
        <v>38335.8</v>
      </c>
      <c r="O25" s="108"/>
      <c r="P25" s="4"/>
      <c r="Q25" s="33">
        <f>H25-H111-H358-H370-H382-H394</f>
        <v>160441.18999999997</v>
      </c>
      <c r="R25" s="33"/>
      <c r="S25" s="33"/>
      <c r="U25" s="33"/>
      <c r="V25" s="33"/>
      <c r="AA25" s="33"/>
      <c r="AB25" s="33"/>
      <c r="AF25" s="34"/>
    </row>
    <row r="26" spans="1:32" s="12" customFormat="1" ht="15.75">
      <c r="A26" s="116"/>
      <c r="B26" s="85"/>
      <c r="C26" s="91"/>
      <c r="D26" s="10" t="s">
        <v>97</v>
      </c>
      <c r="E26" s="2">
        <f t="shared" si="1"/>
        <v>330360.1</v>
      </c>
      <c r="F26" s="2">
        <f t="shared" si="2"/>
        <v>205769.30000000002</v>
      </c>
      <c r="G26" s="2">
        <f>G62+G124+G255+G407</f>
        <v>197133.3</v>
      </c>
      <c r="H26" s="2">
        <f aca="true" t="shared" si="5" ref="H26:N26">H62+H124+H255+H407</f>
        <v>169131.5</v>
      </c>
      <c r="I26" s="2">
        <f t="shared" si="5"/>
        <v>0</v>
      </c>
      <c r="J26" s="2">
        <f t="shared" si="5"/>
        <v>0</v>
      </c>
      <c r="K26" s="2">
        <f t="shared" si="5"/>
        <v>98844.70000000001</v>
      </c>
      <c r="L26" s="2">
        <f t="shared" si="5"/>
        <v>2255.7</v>
      </c>
      <c r="M26" s="2">
        <f t="shared" si="5"/>
        <v>34382.1</v>
      </c>
      <c r="N26" s="2">
        <f t="shared" si="5"/>
        <v>34382.1</v>
      </c>
      <c r="O26" s="108"/>
      <c r="P26" s="4"/>
      <c r="Q26" s="33">
        <f>H26-H112-H359-H371-H383-H395</f>
        <v>158924.69999999998</v>
      </c>
      <c r="R26" s="33">
        <f>H24-Q24</f>
        <v>11594.800000000017</v>
      </c>
      <c r="S26" s="33"/>
      <c r="U26" s="33"/>
      <c r="V26" s="33"/>
      <c r="AA26" s="33"/>
      <c r="AB26" s="33"/>
      <c r="AF26" s="34"/>
    </row>
    <row r="27" spans="1:32" s="12" customFormat="1" ht="15.75">
      <c r="A27" s="116"/>
      <c r="B27" s="85"/>
      <c r="C27" s="91"/>
      <c r="D27" s="10" t="s">
        <v>98</v>
      </c>
      <c r="E27" s="2">
        <f t="shared" si="1"/>
        <v>330360.1</v>
      </c>
      <c r="F27" s="2">
        <f t="shared" si="2"/>
        <v>203513.6</v>
      </c>
      <c r="G27" s="2">
        <f>G63+G125+G256+G408</f>
        <v>197133.3</v>
      </c>
      <c r="H27" s="2">
        <f>H63+H125+H256+H408</f>
        <v>169131.5</v>
      </c>
      <c r="I27" s="2">
        <f aca="true" t="shared" si="6" ref="I27:N27">I63+I125+I256+I408</f>
        <v>0</v>
      </c>
      <c r="J27" s="2">
        <f t="shared" si="6"/>
        <v>0</v>
      </c>
      <c r="K27" s="2">
        <f t="shared" si="6"/>
        <v>98844.70000000001</v>
      </c>
      <c r="L27" s="2">
        <f t="shared" si="6"/>
        <v>0</v>
      </c>
      <c r="M27" s="2">
        <f t="shared" si="6"/>
        <v>34382.1</v>
      </c>
      <c r="N27" s="2">
        <f t="shared" si="6"/>
        <v>34382.1</v>
      </c>
      <c r="O27" s="108"/>
      <c r="P27" s="4"/>
      <c r="Q27" s="33"/>
      <c r="R27" s="33"/>
      <c r="S27" s="33"/>
      <c r="U27" s="33"/>
      <c r="V27" s="33"/>
      <c r="AA27" s="33"/>
      <c r="AB27" s="33"/>
      <c r="AF27" s="34"/>
    </row>
    <row r="28" spans="1:32" s="12" customFormat="1" ht="15.75">
      <c r="A28" s="116"/>
      <c r="B28" s="85"/>
      <c r="C28" s="91"/>
      <c r="D28" s="10" t="s">
        <v>99</v>
      </c>
      <c r="E28" s="2">
        <f t="shared" si="1"/>
        <v>330360.1</v>
      </c>
      <c r="F28" s="2">
        <f t="shared" si="2"/>
        <v>0</v>
      </c>
      <c r="G28" s="2">
        <f aca="true" t="shared" si="7" ref="G28:N28">G64+G126+G257+G409</f>
        <v>197133.3</v>
      </c>
      <c r="H28" s="2">
        <f t="shared" si="7"/>
        <v>0</v>
      </c>
      <c r="I28" s="2">
        <f t="shared" si="7"/>
        <v>0</v>
      </c>
      <c r="J28" s="2">
        <f t="shared" si="7"/>
        <v>0</v>
      </c>
      <c r="K28" s="2">
        <f t="shared" si="7"/>
        <v>98844.70000000001</v>
      </c>
      <c r="L28" s="2">
        <f t="shared" si="7"/>
        <v>0</v>
      </c>
      <c r="M28" s="2">
        <f t="shared" si="7"/>
        <v>34382.1</v>
      </c>
      <c r="N28" s="2">
        <f t="shared" si="7"/>
        <v>0</v>
      </c>
      <c r="O28" s="108"/>
      <c r="P28" s="4"/>
      <c r="Q28" s="33"/>
      <c r="R28" s="33"/>
      <c r="S28" s="33"/>
      <c r="U28" s="33"/>
      <c r="V28" s="33"/>
      <c r="AA28" s="33"/>
      <c r="AB28" s="33"/>
      <c r="AF28" s="34"/>
    </row>
    <row r="29" spans="1:32" s="12" customFormat="1" ht="15.75">
      <c r="A29" s="116"/>
      <c r="B29" s="85"/>
      <c r="C29" s="91"/>
      <c r="D29" s="10" t="s">
        <v>100</v>
      </c>
      <c r="E29" s="2">
        <f t="shared" si="1"/>
        <v>330360.1</v>
      </c>
      <c r="F29" s="2">
        <f t="shared" si="2"/>
        <v>0</v>
      </c>
      <c r="G29" s="2">
        <f aca="true" t="shared" si="8" ref="G29:N29">G65+G127+G258+G410</f>
        <v>197133.3</v>
      </c>
      <c r="H29" s="2">
        <f t="shared" si="8"/>
        <v>0</v>
      </c>
      <c r="I29" s="2">
        <f t="shared" si="8"/>
        <v>0</v>
      </c>
      <c r="J29" s="2">
        <f t="shared" si="8"/>
        <v>0</v>
      </c>
      <c r="K29" s="2">
        <f t="shared" si="8"/>
        <v>98844.70000000001</v>
      </c>
      <c r="L29" s="2">
        <f t="shared" si="8"/>
        <v>0</v>
      </c>
      <c r="M29" s="2">
        <f t="shared" si="8"/>
        <v>34382.1</v>
      </c>
      <c r="N29" s="2">
        <f t="shared" si="8"/>
        <v>0</v>
      </c>
      <c r="O29" s="108"/>
      <c r="P29" s="4"/>
      <c r="Q29" s="33"/>
      <c r="R29" s="33"/>
      <c r="S29" s="33"/>
      <c r="U29" s="33"/>
      <c r="V29" s="33"/>
      <c r="AA29" s="33"/>
      <c r="AB29" s="33"/>
      <c r="AF29" s="34"/>
    </row>
    <row r="30" spans="1:33" s="12" customFormat="1" ht="15.75">
      <c r="A30" s="117"/>
      <c r="B30" s="86"/>
      <c r="C30" s="91"/>
      <c r="D30" s="10" t="s">
        <v>101</v>
      </c>
      <c r="E30" s="2">
        <f t="shared" si="1"/>
        <v>330360.1</v>
      </c>
      <c r="F30" s="2">
        <f t="shared" si="2"/>
        <v>0</v>
      </c>
      <c r="G30" s="2">
        <f aca="true" t="shared" si="9" ref="G30:N30">G66+G128+G259+G411</f>
        <v>197133.3</v>
      </c>
      <c r="H30" s="2">
        <f t="shared" si="9"/>
        <v>0</v>
      </c>
      <c r="I30" s="2">
        <f t="shared" si="9"/>
        <v>0</v>
      </c>
      <c r="J30" s="2">
        <f t="shared" si="9"/>
        <v>0</v>
      </c>
      <c r="K30" s="2">
        <f t="shared" si="9"/>
        <v>98844.70000000001</v>
      </c>
      <c r="L30" s="2">
        <f t="shared" si="9"/>
        <v>0</v>
      </c>
      <c r="M30" s="2">
        <f t="shared" si="9"/>
        <v>34382.1</v>
      </c>
      <c r="N30" s="2">
        <f t="shared" si="9"/>
        <v>0</v>
      </c>
      <c r="O30" s="109"/>
      <c r="P30" s="4"/>
      <c r="Q30" s="33"/>
      <c r="R30" s="33"/>
      <c r="S30" s="33"/>
      <c r="AA30" s="33"/>
      <c r="AB30" s="33"/>
      <c r="AG30" s="34"/>
    </row>
    <row r="31" spans="1:27" s="12" customFormat="1" ht="12.75" customHeight="1">
      <c r="A31" s="115"/>
      <c r="B31" s="84" t="s">
        <v>116</v>
      </c>
      <c r="C31" s="13"/>
      <c r="D31" s="10" t="s">
        <v>11</v>
      </c>
      <c r="E31" s="2">
        <f>SUM(E32:E42)</f>
        <v>2327470.6399999997</v>
      </c>
      <c r="F31" s="2">
        <f aca="true" t="shared" si="10" ref="F31:N31">SUM(F32:F42)</f>
        <v>1471002.4000000001</v>
      </c>
      <c r="G31" s="2">
        <f t="shared" si="10"/>
        <v>1397819.44</v>
      </c>
      <c r="H31" s="2">
        <f t="shared" si="10"/>
        <v>954421.3999999998</v>
      </c>
      <c r="I31" s="2">
        <f>SUM(I32:I42)</f>
        <v>7627.1</v>
      </c>
      <c r="J31" s="2">
        <f t="shared" si="10"/>
        <v>127.1</v>
      </c>
      <c r="K31" s="2">
        <f t="shared" si="10"/>
        <v>477868.29999999993</v>
      </c>
      <c r="L31" s="2">
        <f>SUM(L32:L42)</f>
        <v>188387.9</v>
      </c>
      <c r="M31" s="2">
        <f t="shared" si="10"/>
        <v>444155.7999999999</v>
      </c>
      <c r="N31" s="2">
        <f t="shared" si="10"/>
        <v>328065.99999999994</v>
      </c>
      <c r="O31" s="110" t="s">
        <v>86</v>
      </c>
      <c r="P31" s="4"/>
      <c r="R31" s="33"/>
      <c r="S31" s="33"/>
      <c r="AA31" s="33"/>
    </row>
    <row r="32" spans="1:16" s="12" customFormat="1" ht="24" customHeight="1">
      <c r="A32" s="116"/>
      <c r="B32" s="85"/>
      <c r="D32" s="10" t="s">
        <v>12</v>
      </c>
      <c r="E32" s="2">
        <f aca="true" t="shared" si="11" ref="E32:E42">G32+I32+K32+M32</f>
        <v>180341.6</v>
      </c>
      <c r="F32" s="2">
        <f aca="true" t="shared" si="12" ref="F32:F42">H32+J32+L32+N32</f>
        <v>162018.30000000002</v>
      </c>
      <c r="G32" s="2">
        <f>G161</f>
        <v>116756.20000000001</v>
      </c>
      <c r="H32" s="2">
        <f aca="true" t="shared" si="13" ref="H32:N32">H161</f>
        <v>104347.90000000001</v>
      </c>
      <c r="I32" s="2">
        <f t="shared" si="13"/>
        <v>2500</v>
      </c>
      <c r="J32" s="2">
        <f t="shared" si="13"/>
        <v>0</v>
      </c>
      <c r="K32" s="2">
        <f t="shared" si="13"/>
        <v>27766.9</v>
      </c>
      <c r="L32" s="2">
        <f t="shared" si="13"/>
        <v>24351.9</v>
      </c>
      <c r="M32" s="2">
        <f t="shared" si="13"/>
        <v>33318.5</v>
      </c>
      <c r="N32" s="2">
        <f t="shared" si="13"/>
        <v>33318.5</v>
      </c>
      <c r="O32" s="110"/>
      <c r="P32" s="31"/>
    </row>
    <row r="33" spans="1:16" s="12" customFormat="1" ht="23.25" customHeight="1">
      <c r="A33" s="116"/>
      <c r="B33" s="85"/>
      <c r="C33" s="91" t="s">
        <v>58</v>
      </c>
      <c r="D33" s="10" t="s">
        <v>13</v>
      </c>
      <c r="E33" s="2">
        <f t="shared" si="11"/>
        <v>181324.74</v>
      </c>
      <c r="F33" s="2">
        <f t="shared" si="12"/>
        <v>173599.8</v>
      </c>
      <c r="G33" s="2">
        <f aca="true" t="shared" si="14" ref="G33:N33">G162</f>
        <v>111578.54000000001</v>
      </c>
      <c r="H33" s="2">
        <f t="shared" si="14"/>
        <v>109904.6</v>
      </c>
      <c r="I33" s="2">
        <f t="shared" si="14"/>
        <v>2500</v>
      </c>
      <c r="J33" s="2">
        <f t="shared" si="14"/>
        <v>0</v>
      </c>
      <c r="K33" s="2">
        <f t="shared" si="14"/>
        <v>28121.9</v>
      </c>
      <c r="L33" s="2">
        <f t="shared" si="14"/>
        <v>24570.9</v>
      </c>
      <c r="M33" s="2">
        <f t="shared" si="14"/>
        <v>39124.3</v>
      </c>
      <c r="N33" s="2">
        <f t="shared" si="14"/>
        <v>39124.3</v>
      </c>
      <c r="O33" s="110"/>
      <c r="P33" s="4"/>
    </row>
    <row r="34" spans="1:16" s="12" customFormat="1" ht="12.75" customHeight="1">
      <c r="A34" s="116"/>
      <c r="B34" s="85"/>
      <c r="C34" s="91"/>
      <c r="D34" s="10" t="s">
        <v>14</v>
      </c>
      <c r="E34" s="2">
        <f t="shared" si="11"/>
        <v>197720.5</v>
      </c>
      <c r="F34" s="2">
        <f t="shared" si="12"/>
        <v>188559.5</v>
      </c>
      <c r="G34" s="2">
        <f aca="true" t="shared" si="15" ref="G34:N34">G163</f>
        <v>113801.6</v>
      </c>
      <c r="H34" s="2">
        <f t="shared" si="15"/>
        <v>110275.6</v>
      </c>
      <c r="I34" s="2">
        <f t="shared" si="15"/>
        <v>2500</v>
      </c>
      <c r="J34" s="2">
        <f t="shared" si="15"/>
        <v>0</v>
      </c>
      <c r="K34" s="2">
        <f t="shared" si="15"/>
        <v>40223.799999999996</v>
      </c>
      <c r="L34" s="2">
        <f t="shared" si="15"/>
        <v>37088.799999999996</v>
      </c>
      <c r="M34" s="2">
        <f t="shared" si="15"/>
        <v>41195.1</v>
      </c>
      <c r="N34" s="2">
        <f t="shared" si="15"/>
        <v>41195.1</v>
      </c>
      <c r="O34" s="110"/>
      <c r="P34" s="4"/>
    </row>
    <row r="35" spans="1:16" s="12" customFormat="1" ht="18.75" customHeight="1">
      <c r="A35" s="116"/>
      <c r="B35" s="85"/>
      <c r="C35" s="91"/>
      <c r="D35" s="10" t="s">
        <v>15</v>
      </c>
      <c r="E35" s="2">
        <f t="shared" si="11"/>
        <v>221087.6</v>
      </c>
      <c r="F35" s="2">
        <f t="shared" si="12"/>
        <v>217736.5</v>
      </c>
      <c r="G35" s="2">
        <f aca="true" t="shared" si="16" ref="G35:N35">G164</f>
        <v>127114.9</v>
      </c>
      <c r="H35" s="2">
        <f t="shared" si="16"/>
        <v>123763.8</v>
      </c>
      <c r="I35" s="2">
        <f t="shared" si="16"/>
        <v>127.1</v>
      </c>
      <c r="J35" s="2">
        <f t="shared" si="16"/>
        <v>127.1</v>
      </c>
      <c r="K35" s="2">
        <f t="shared" si="16"/>
        <v>47521.100000000006</v>
      </c>
      <c r="L35" s="2">
        <f t="shared" si="16"/>
        <v>47521.100000000006</v>
      </c>
      <c r="M35" s="2">
        <f t="shared" si="16"/>
        <v>46324.5</v>
      </c>
      <c r="N35" s="2">
        <f t="shared" si="16"/>
        <v>46324.5</v>
      </c>
      <c r="O35" s="110"/>
      <c r="P35" s="4"/>
    </row>
    <row r="36" spans="1:23" s="12" customFormat="1" ht="12.75" customHeight="1">
      <c r="A36" s="116"/>
      <c r="B36" s="85"/>
      <c r="C36" s="91"/>
      <c r="D36" s="10" t="s">
        <v>16</v>
      </c>
      <c r="E36" s="2">
        <f t="shared" si="11"/>
        <v>228198.6</v>
      </c>
      <c r="F36" s="2">
        <f t="shared" si="12"/>
        <v>221491.2</v>
      </c>
      <c r="G36" s="2">
        <f aca="true" t="shared" si="17" ref="G36:N36">G165</f>
        <v>132875.2</v>
      </c>
      <c r="H36" s="2">
        <f t="shared" si="17"/>
        <v>129803</v>
      </c>
      <c r="I36" s="2">
        <f t="shared" si="17"/>
        <v>0</v>
      </c>
      <c r="J36" s="2">
        <f t="shared" si="17"/>
        <v>0</v>
      </c>
      <c r="K36" s="2">
        <f t="shared" si="17"/>
        <v>47747.8</v>
      </c>
      <c r="L36" s="2">
        <f t="shared" si="17"/>
        <v>44112.6</v>
      </c>
      <c r="M36" s="2">
        <f t="shared" si="17"/>
        <v>47575.6</v>
      </c>
      <c r="N36" s="2">
        <f t="shared" si="17"/>
        <v>47575.6</v>
      </c>
      <c r="O36" s="110"/>
      <c r="P36" s="4"/>
      <c r="W36" s="34">
        <f>G36-H36</f>
        <v>3072.2000000000116</v>
      </c>
    </row>
    <row r="37" spans="1:24" s="12" customFormat="1" ht="12.75" customHeight="1">
      <c r="A37" s="116"/>
      <c r="B37" s="85"/>
      <c r="C37" s="91"/>
      <c r="D37" s="10" t="s">
        <v>17</v>
      </c>
      <c r="E37" s="2">
        <f t="shared" si="11"/>
        <v>223498.09999999998</v>
      </c>
      <c r="F37" s="2">
        <f t="shared" si="12"/>
        <v>175169.2</v>
      </c>
      <c r="G37" s="2">
        <f aca="true" t="shared" si="18" ref="G37:N37">G166</f>
        <v>132615.5</v>
      </c>
      <c r="H37" s="2">
        <f t="shared" si="18"/>
        <v>126663.1</v>
      </c>
      <c r="I37" s="2">
        <f t="shared" si="18"/>
        <v>0</v>
      </c>
      <c r="J37" s="2">
        <f t="shared" si="18"/>
        <v>0</v>
      </c>
      <c r="K37" s="2">
        <f t="shared" si="18"/>
        <v>47747.8</v>
      </c>
      <c r="L37" s="2">
        <f t="shared" si="18"/>
        <v>5371.3</v>
      </c>
      <c r="M37" s="2">
        <f t="shared" si="18"/>
        <v>43134.8</v>
      </c>
      <c r="N37" s="2">
        <f t="shared" si="18"/>
        <v>43134.8</v>
      </c>
      <c r="O37" s="110"/>
      <c r="P37" s="4"/>
      <c r="W37" s="34">
        <f>G37-H37</f>
        <v>5952.399999999994</v>
      </c>
      <c r="X37" s="34">
        <v>4560</v>
      </c>
    </row>
    <row r="38" spans="1:23" s="12" customFormat="1" ht="12.75" customHeight="1">
      <c r="A38" s="116"/>
      <c r="B38" s="85"/>
      <c r="C38" s="91"/>
      <c r="D38" s="10" t="s">
        <v>97</v>
      </c>
      <c r="E38" s="2">
        <f t="shared" si="11"/>
        <v>219059.9</v>
      </c>
      <c r="F38" s="2">
        <f t="shared" si="12"/>
        <v>168899.6</v>
      </c>
      <c r="G38" s="2">
        <f>G167</f>
        <v>132615.5</v>
      </c>
      <c r="H38" s="2">
        <f aca="true" t="shared" si="19" ref="H38:N38">H167</f>
        <v>124831.7</v>
      </c>
      <c r="I38" s="2">
        <f t="shared" si="19"/>
        <v>0</v>
      </c>
      <c r="J38" s="2">
        <f t="shared" si="19"/>
        <v>0</v>
      </c>
      <c r="K38" s="2">
        <f t="shared" si="19"/>
        <v>47747.8</v>
      </c>
      <c r="L38" s="2">
        <f t="shared" si="19"/>
        <v>5371.3</v>
      </c>
      <c r="M38" s="2">
        <f t="shared" si="19"/>
        <v>38696.6</v>
      </c>
      <c r="N38" s="2">
        <f t="shared" si="19"/>
        <v>38696.6</v>
      </c>
      <c r="O38" s="110"/>
      <c r="P38" s="4"/>
      <c r="W38" s="34">
        <f>G38-H38</f>
        <v>7783.800000000003</v>
      </c>
    </row>
    <row r="39" spans="1:23" s="12" customFormat="1" ht="12.75" customHeight="1">
      <c r="A39" s="116"/>
      <c r="B39" s="85"/>
      <c r="C39" s="91"/>
      <c r="D39" s="10" t="s">
        <v>98</v>
      </c>
      <c r="E39" s="2">
        <f t="shared" si="11"/>
        <v>219059.9</v>
      </c>
      <c r="F39" s="2">
        <f t="shared" si="12"/>
        <v>163528.3</v>
      </c>
      <c r="G39" s="2">
        <f aca="true" t="shared" si="20" ref="G39:N39">G168</f>
        <v>132615.5</v>
      </c>
      <c r="H39" s="2">
        <f t="shared" si="20"/>
        <v>124831.7</v>
      </c>
      <c r="I39" s="2">
        <f t="shared" si="20"/>
        <v>0</v>
      </c>
      <c r="J39" s="2">
        <f t="shared" si="20"/>
        <v>0</v>
      </c>
      <c r="K39" s="2">
        <f t="shared" si="20"/>
        <v>47747.8</v>
      </c>
      <c r="L39" s="2">
        <f t="shared" si="20"/>
        <v>0</v>
      </c>
      <c r="M39" s="2">
        <f t="shared" si="20"/>
        <v>38696.6</v>
      </c>
      <c r="N39" s="2">
        <f t="shared" si="20"/>
        <v>38696.6</v>
      </c>
      <c r="O39" s="110"/>
      <c r="P39" s="4"/>
      <c r="W39" s="34">
        <f>G39-H39</f>
        <v>7783.800000000003</v>
      </c>
    </row>
    <row r="40" spans="1:16" s="12" customFormat="1" ht="12.75" customHeight="1">
      <c r="A40" s="116"/>
      <c r="B40" s="85"/>
      <c r="C40" s="91"/>
      <c r="D40" s="10" t="s">
        <v>99</v>
      </c>
      <c r="E40" s="2">
        <f t="shared" si="11"/>
        <v>219059.9</v>
      </c>
      <c r="F40" s="2">
        <f t="shared" si="12"/>
        <v>0</v>
      </c>
      <c r="G40" s="2">
        <f aca="true" t="shared" si="21" ref="G40:N40">G169</f>
        <v>132615.5</v>
      </c>
      <c r="H40" s="2">
        <f t="shared" si="21"/>
        <v>0</v>
      </c>
      <c r="I40" s="2">
        <f t="shared" si="21"/>
        <v>0</v>
      </c>
      <c r="J40" s="2">
        <f t="shared" si="21"/>
        <v>0</v>
      </c>
      <c r="K40" s="2">
        <f t="shared" si="21"/>
        <v>47747.8</v>
      </c>
      <c r="L40" s="2">
        <f t="shared" si="21"/>
        <v>0</v>
      </c>
      <c r="M40" s="2">
        <f t="shared" si="21"/>
        <v>38696.6</v>
      </c>
      <c r="N40" s="2">
        <f t="shared" si="21"/>
        <v>0</v>
      </c>
      <c r="O40" s="110"/>
      <c r="P40" s="4"/>
    </row>
    <row r="41" spans="1:16" s="12" customFormat="1" ht="12.75" customHeight="1">
      <c r="A41" s="116"/>
      <c r="B41" s="85"/>
      <c r="C41" s="91"/>
      <c r="D41" s="10" t="s">
        <v>100</v>
      </c>
      <c r="E41" s="2">
        <f t="shared" si="11"/>
        <v>219059.9</v>
      </c>
      <c r="F41" s="2">
        <f t="shared" si="12"/>
        <v>0</v>
      </c>
      <c r="G41" s="2">
        <f aca="true" t="shared" si="22" ref="G41:N41">G170</f>
        <v>132615.5</v>
      </c>
      <c r="H41" s="2">
        <f t="shared" si="22"/>
        <v>0</v>
      </c>
      <c r="I41" s="2">
        <f t="shared" si="22"/>
        <v>0</v>
      </c>
      <c r="J41" s="2">
        <f t="shared" si="22"/>
        <v>0</v>
      </c>
      <c r="K41" s="2">
        <f t="shared" si="22"/>
        <v>47747.8</v>
      </c>
      <c r="L41" s="2">
        <f t="shared" si="22"/>
        <v>0</v>
      </c>
      <c r="M41" s="2">
        <f t="shared" si="22"/>
        <v>38696.6</v>
      </c>
      <c r="N41" s="2">
        <f t="shared" si="22"/>
        <v>0</v>
      </c>
      <c r="O41" s="110"/>
      <c r="P41" s="4"/>
    </row>
    <row r="42" spans="1:16" s="12" customFormat="1" ht="31.5" customHeight="1">
      <c r="A42" s="117"/>
      <c r="B42" s="86"/>
      <c r="C42" s="91"/>
      <c r="D42" s="10" t="s">
        <v>101</v>
      </c>
      <c r="E42" s="2">
        <f t="shared" si="11"/>
        <v>219059.9</v>
      </c>
      <c r="F42" s="2">
        <f t="shared" si="12"/>
        <v>0</v>
      </c>
      <c r="G42" s="2">
        <f aca="true" t="shared" si="23" ref="G42:N42">G171</f>
        <v>132615.5</v>
      </c>
      <c r="H42" s="2">
        <f t="shared" si="23"/>
        <v>0</v>
      </c>
      <c r="I42" s="2">
        <f t="shared" si="23"/>
        <v>0</v>
      </c>
      <c r="J42" s="2">
        <f t="shared" si="23"/>
        <v>0</v>
      </c>
      <c r="K42" s="2">
        <f t="shared" si="23"/>
        <v>47747.8</v>
      </c>
      <c r="L42" s="2">
        <f t="shared" si="23"/>
        <v>0</v>
      </c>
      <c r="M42" s="2">
        <f t="shared" si="23"/>
        <v>38696.6</v>
      </c>
      <c r="N42" s="2">
        <f t="shared" si="23"/>
        <v>0</v>
      </c>
      <c r="O42" s="110"/>
      <c r="P42" s="4"/>
    </row>
    <row r="43" spans="1:27" s="12" customFormat="1" ht="12.75" customHeight="1">
      <c r="A43" s="115"/>
      <c r="B43" s="84" t="s">
        <v>126</v>
      </c>
      <c r="C43" s="13"/>
      <c r="D43" s="10" t="s">
        <v>11</v>
      </c>
      <c r="E43" s="2">
        <f>SUM(E44:E54)</f>
        <v>36560</v>
      </c>
      <c r="F43" s="2">
        <f aca="true" t="shared" si="24" ref="F43:N43">SUM(F44:F54)</f>
        <v>5000</v>
      </c>
      <c r="G43" s="2">
        <f t="shared" si="24"/>
        <v>1560</v>
      </c>
      <c r="H43" s="2">
        <f t="shared" si="24"/>
        <v>0</v>
      </c>
      <c r="I43" s="2">
        <f t="shared" si="24"/>
        <v>35000</v>
      </c>
      <c r="J43" s="2">
        <f t="shared" si="24"/>
        <v>5000</v>
      </c>
      <c r="K43" s="2">
        <f t="shared" si="24"/>
        <v>0</v>
      </c>
      <c r="L43" s="2">
        <f t="shared" si="24"/>
        <v>0</v>
      </c>
      <c r="M43" s="2">
        <f t="shared" si="24"/>
        <v>0</v>
      </c>
      <c r="N43" s="2">
        <f t="shared" si="24"/>
        <v>0</v>
      </c>
      <c r="O43" s="110" t="s">
        <v>86</v>
      </c>
      <c r="P43" s="4"/>
      <c r="R43" s="33"/>
      <c r="S43" s="33"/>
      <c r="AA43" s="33"/>
    </row>
    <row r="44" spans="1:16" s="12" customFormat="1" ht="24" customHeight="1" hidden="1">
      <c r="A44" s="116"/>
      <c r="B44" s="85"/>
      <c r="D44" s="10" t="s">
        <v>12</v>
      </c>
      <c r="E44" s="2">
        <f aca="true" t="shared" si="25" ref="E44:E54">G44+I44+K44+M44</f>
        <v>0</v>
      </c>
      <c r="F44" s="2">
        <f>H44+J44+L44+N44</f>
        <v>0</v>
      </c>
      <c r="G44" s="2"/>
      <c r="H44" s="2"/>
      <c r="I44" s="2"/>
      <c r="J44" s="2"/>
      <c r="K44" s="2"/>
      <c r="L44" s="2"/>
      <c r="M44" s="2"/>
      <c r="N44" s="2"/>
      <c r="O44" s="110"/>
      <c r="P44" s="31"/>
    </row>
    <row r="45" spans="1:16" s="12" customFormat="1" ht="23.25" customHeight="1" hidden="1">
      <c r="A45" s="116"/>
      <c r="B45" s="85"/>
      <c r="C45" s="91" t="s">
        <v>125</v>
      </c>
      <c r="D45" s="10" t="s">
        <v>13</v>
      </c>
      <c r="E45" s="2">
        <f t="shared" si="25"/>
        <v>0</v>
      </c>
      <c r="F45" s="2">
        <f aca="true" t="shared" si="26" ref="F45:F54">H45+J45+L45+N45</f>
        <v>0</v>
      </c>
      <c r="G45" s="2"/>
      <c r="H45" s="2"/>
      <c r="I45" s="2"/>
      <c r="J45" s="2"/>
      <c r="K45" s="2"/>
      <c r="L45" s="2"/>
      <c r="M45" s="2"/>
      <c r="N45" s="2"/>
      <c r="O45" s="110"/>
      <c r="P45" s="4"/>
    </row>
    <row r="46" spans="1:16" s="12" customFormat="1" ht="12.75" customHeight="1" hidden="1">
      <c r="A46" s="116"/>
      <c r="B46" s="85"/>
      <c r="C46" s="91"/>
      <c r="D46" s="10" t="s">
        <v>14</v>
      </c>
      <c r="E46" s="2">
        <f t="shared" si="25"/>
        <v>0</v>
      </c>
      <c r="F46" s="2">
        <f t="shared" si="26"/>
        <v>0</v>
      </c>
      <c r="G46" s="2"/>
      <c r="H46" s="2"/>
      <c r="I46" s="2"/>
      <c r="J46" s="2"/>
      <c r="K46" s="2"/>
      <c r="L46" s="2"/>
      <c r="M46" s="2"/>
      <c r="N46" s="2"/>
      <c r="O46" s="110"/>
      <c r="P46" s="4"/>
    </row>
    <row r="47" spans="1:16" s="12" customFormat="1" ht="18.75" customHeight="1" hidden="1">
      <c r="A47" s="116"/>
      <c r="B47" s="85"/>
      <c r="C47" s="91"/>
      <c r="D47" s="10" t="s">
        <v>15</v>
      </c>
      <c r="E47" s="2">
        <f t="shared" si="25"/>
        <v>0</v>
      </c>
      <c r="F47" s="2">
        <f t="shared" si="26"/>
        <v>0</v>
      </c>
      <c r="G47" s="2"/>
      <c r="H47" s="2"/>
      <c r="I47" s="2"/>
      <c r="J47" s="2"/>
      <c r="K47" s="2"/>
      <c r="L47" s="2"/>
      <c r="M47" s="2"/>
      <c r="N47" s="2"/>
      <c r="O47" s="110"/>
      <c r="P47" s="4"/>
    </row>
    <row r="48" spans="1:16" s="12" customFormat="1" ht="12.75" customHeight="1">
      <c r="A48" s="116"/>
      <c r="B48" s="85"/>
      <c r="C48" s="91"/>
      <c r="D48" s="10" t="s">
        <v>16</v>
      </c>
      <c r="E48" s="2">
        <f t="shared" si="25"/>
        <v>5000</v>
      </c>
      <c r="F48" s="2">
        <f t="shared" si="26"/>
        <v>5000</v>
      </c>
      <c r="G48" s="2">
        <f aca="true" t="shared" si="27" ref="G48:N48">G452</f>
        <v>0</v>
      </c>
      <c r="H48" s="2">
        <f t="shared" si="27"/>
        <v>0</v>
      </c>
      <c r="I48" s="2">
        <f t="shared" si="27"/>
        <v>5000</v>
      </c>
      <c r="J48" s="2">
        <f t="shared" si="27"/>
        <v>5000</v>
      </c>
      <c r="K48" s="2">
        <f t="shared" si="27"/>
        <v>0</v>
      </c>
      <c r="L48" s="2">
        <f t="shared" si="27"/>
        <v>0</v>
      </c>
      <c r="M48" s="2">
        <f t="shared" si="27"/>
        <v>0</v>
      </c>
      <c r="N48" s="2">
        <f t="shared" si="27"/>
        <v>0</v>
      </c>
      <c r="O48" s="110"/>
      <c r="P48" s="4"/>
    </row>
    <row r="49" spans="1:16" s="12" customFormat="1" ht="12.75" customHeight="1">
      <c r="A49" s="116"/>
      <c r="B49" s="85"/>
      <c r="C49" s="91"/>
      <c r="D49" s="10" t="s">
        <v>17</v>
      </c>
      <c r="E49" s="2">
        <f t="shared" si="25"/>
        <v>5260</v>
      </c>
      <c r="F49" s="2">
        <f t="shared" si="26"/>
        <v>0</v>
      </c>
      <c r="G49" s="2">
        <f aca="true" t="shared" si="28" ref="G49:N49">G453</f>
        <v>260</v>
      </c>
      <c r="H49" s="2">
        <f t="shared" si="28"/>
        <v>0</v>
      </c>
      <c r="I49" s="2">
        <f t="shared" si="28"/>
        <v>5000</v>
      </c>
      <c r="J49" s="2">
        <f t="shared" si="28"/>
        <v>0</v>
      </c>
      <c r="K49" s="2">
        <f t="shared" si="28"/>
        <v>0</v>
      </c>
      <c r="L49" s="2">
        <f t="shared" si="28"/>
        <v>0</v>
      </c>
      <c r="M49" s="2">
        <f t="shared" si="28"/>
        <v>0</v>
      </c>
      <c r="N49" s="2">
        <f t="shared" si="28"/>
        <v>0</v>
      </c>
      <c r="O49" s="110"/>
      <c r="P49" s="4"/>
    </row>
    <row r="50" spans="1:16" s="12" customFormat="1" ht="12.75" customHeight="1">
      <c r="A50" s="116"/>
      <c r="B50" s="85"/>
      <c r="C50" s="91"/>
      <c r="D50" s="10" t="s">
        <v>97</v>
      </c>
      <c r="E50" s="2">
        <f t="shared" si="25"/>
        <v>5260</v>
      </c>
      <c r="F50" s="2">
        <f t="shared" si="26"/>
        <v>0</v>
      </c>
      <c r="G50" s="2">
        <f aca="true" t="shared" si="29" ref="G50:N50">G454</f>
        <v>260</v>
      </c>
      <c r="H50" s="2">
        <f t="shared" si="29"/>
        <v>0</v>
      </c>
      <c r="I50" s="2">
        <f t="shared" si="29"/>
        <v>5000</v>
      </c>
      <c r="J50" s="2">
        <f t="shared" si="29"/>
        <v>0</v>
      </c>
      <c r="K50" s="2">
        <f t="shared" si="29"/>
        <v>0</v>
      </c>
      <c r="L50" s="2">
        <f t="shared" si="29"/>
        <v>0</v>
      </c>
      <c r="M50" s="2">
        <f t="shared" si="29"/>
        <v>0</v>
      </c>
      <c r="N50" s="2">
        <f t="shared" si="29"/>
        <v>0</v>
      </c>
      <c r="O50" s="110"/>
      <c r="P50" s="4"/>
    </row>
    <row r="51" spans="1:16" s="12" customFormat="1" ht="12.75" customHeight="1">
      <c r="A51" s="116"/>
      <c r="B51" s="85"/>
      <c r="C51" s="91"/>
      <c r="D51" s="10" t="s">
        <v>98</v>
      </c>
      <c r="E51" s="2">
        <f t="shared" si="25"/>
        <v>5260</v>
      </c>
      <c r="F51" s="2">
        <f t="shared" si="26"/>
        <v>0</v>
      </c>
      <c r="G51" s="2">
        <f aca="true" t="shared" si="30" ref="G51:N51">G455</f>
        <v>260</v>
      </c>
      <c r="H51" s="2">
        <f t="shared" si="30"/>
        <v>0</v>
      </c>
      <c r="I51" s="2">
        <f t="shared" si="30"/>
        <v>5000</v>
      </c>
      <c r="J51" s="2">
        <f t="shared" si="30"/>
        <v>0</v>
      </c>
      <c r="K51" s="2">
        <f t="shared" si="30"/>
        <v>0</v>
      </c>
      <c r="L51" s="2">
        <f t="shared" si="30"/>
        <v>0</v>
      </c>
      <c r="M51" s="2">
        <f t="shared" si="30"/>
        <v>0</v>
      </c>
      <c r="N51" s="2">
        <f t="shared" si="30"/>
        <v>0</v>
      </c>
      <c r="O51" s="110"/>
      <c r="P51" s="4"/>
    </row>
    <row r="52" spans="1:16" s="12" customFormat="1" ht="12.75" customHeight="1">
      <c r="A52" s="116"/>
      <c r="B52" s="85"/>
      <c r="C52" s="91"/>
      <c r="D52" s="10" t="s">
        <v>99</v>
      </c>
      <c r="E52" s="2">
        <f t="shared" si="25"/>
        <v>5260</v>
      </c>
      <c r="F52" s="2">
        <f t="shared" si="26"/>
        <v>0</v>
      </c>
      <c r="G52" s="2">
        <f aca="true" t="shared" si="31" ref="G52:N52">G456</f>
        <v>260</v>
      </c>
      <c r="H52" s="2">
        <f t="shared" si="31"/>
        <v>0</v>
      </c>
      <c r="I52" s="2">
        <f t="shared" si="31"/>
        <v>5000</v>
      </c>
      <c r="J52" s="2">
        <f t="shared" si="31"/>
        <v>0</v>
      </c>
      <c r="K52" s="2">
        <f t="shared" si="31"/>
        <v>0</v>
      </c>
      <c r="L52" s="2">
        <f t="shared" si="31"/>
        <v>0</v>
      </c>
      <c r="M52" s="2">
        <f t="shared" si="31"/>
        <v>0</v>
      </c>
      <c r="N52" s="2">
        <f t="shared" si="31"/>
        <v>0</v>
      </c>
      <c r="O52" s="110"/>
      <c r="P52" s="4"/>
    </row>
    <row r="53" spans="1:16" s="12" customFormat="1" ht="12.75" customHeight="1">
      <c r="A53" s="116"/>
      <c r="B53" s="85"/>
      <c r="C53" s="91"/>
      <c r="D53" s="10" t="s">
        <v>100</v>
      </c>
      <c r="E53" s="2">
        <f t="shared" si="25"/>
        <v>5260</v>
      </c>
      <c r="F53" s="2">
        <f t="shared" si="26"/>
        <v>0</v>
      </c>
      <c r="G53" s="2">
        <f aca="true" t="shared" si="32" ref="G53:N53">G457</f>
        <v>260</v>
      </c>
      <c r="H53" s="2">
        <f t="shared" si="32"/>
        <v>0</v>
      </c>
      <c r="I53" s="2">
        <f t="shared" si="32"/>
        <v>5000</v>
      </c>
      <c r="J53" s="2">
        <f t="shared" si="32"/>
        <v>0</v>
      </c>
      <c r="K53" s="2">
        <f t="shared" si="32"/>
        <v>0</v>
      </c>
      <c r="L53" s="2">
        <f t="shared" si="32"/>
        <v>0</v>
      </c>
      <c r="M53" s="2">
        <f t="shared" si="32"/>
        <v>0</v>
      </c>
      <c r="N53" s="2">
        <f t="shared" si="32"/>
        <v>0</v>
      </c>
      <c r="O53" s="110"/>
      <c r="P53" s="4"/>
    </row>
    <row r="54" spans="1:16" s="12" customFormat="1" ht="31.5" customHeight="1">
      <c r="A54" s="117"/>
      <c r="B54" s="86"/>
      <c r="C54" s="91"/>
      <c r="D54" s="10" t="s">
        <v>101</v>
      </c>
      <c r="E54" s="2">
        <f t="shared" si="25"/>
        <v>5260</v>
      </c>
      <c r="F54" s="2">
        <f t="shared" si="26"/>
        <v>0</v>
      </c>
      <c r="G54" s="2">
        <f aca="true" t="shared" si="33" ref="G54:N54">G458</f>
        <v>260</v>
      </c>
      <c r="H54" s="2">
        <f t="shared" si="33"/>
        <v>0</v>
      </c>
      <c r="I54" s="2">
        <f t="shared" si="33"/>
        <v>5000</v>
      </c>
      <c r="J54" s="2">
        <f t="shared" si="33"/>
        <v>0</v>
      </c>
      <c r="K54" s="2">
        <f t="shared" si="33"/>
        <v>0</v>
      </c>
      <c r="L54" s="2">
        <f t="shared" si="33"/>
        <v>0</v>
      </c>
      <c r="M54" s="2">
        <f t="shared" si="33"/>
        <v>0</v>
      </c>
      <c r="N54" s="2">
        <f t="shared" si="33"/>
        <v>0</v>
      </c>
      <c r="O54" s="110"/>
      <c r="P54" s="4"/>
    </row>
    <row r="55" spans="1:16" s="12" customFormat="1" ht="15" customHeight="1">
      <c r="A55" s="70" t="s">
        <v>25</v>
      </c>
      <c r="B55" s="14" t="s">
        <v>43</v>
      </c>
      <c r="D55" s="10" t="s">
        <v>11</v>
      </c>
      <c r="E55" s="2">
        <f>SUM(E56:E66)</f>
        <v>1182060.023</v>
      </c>
      <c r="F55" s="2">
        <f aca="true" t="shared" si="34" ref="F55:N55">SUM(F56:F66)</f>
        <v>647891.993</v>
      </c>
      <c r="G55" s="2">
        <f t="shared" si="34"/>
        <v>705233.6799999999</v>
      </c>
      <c r="H55" s="2">
        <f t="shared" si="34"/>
        <v>466638.05000000005</v>
      </c>
      <c r="I55" s="2">
        <f t="shared" si="34"/>
        <v>1737.8</v>
      </c>
      <c r="J55" s="2">
        <f t="shared" si="34"/>
        <v>0</v>
      </c>
      <c r="K55" s="2">
        <f t="shared" si="34"/>
        <v>461069.54300000006</v>
      </c>
      <c r="L55" s="2">
        <f t="shared" si="34"/>
        <v>170219.943</v>
      </c>
      <c r="M55" s="2">
        <f t="shared" si="34"/>
        <v>14019</v>
      </c>
      <c r="N55" s="2">
        <f t="shared" si="34"/>
        <v>11034</v>
      </c>
      <c r="O55" s="72" t="s">
        <v>86</v>
      </c>
      <c r="P55" s="4"/>
    </row>
    <row r="56" spans="1:16" s="12" customFormat="1" ht="42.75" customHeight="1">
      <c r="A56" s="71"/>
      <c r="B56" s="107" t="s">
        <v>10</v>
      </c>
      <c r="C56" s="10" t="s">
        <v>66</v>
      </c>
      <c r="D56" s="10" t="s">
        <v>12</v>
      </c>
      <c r="E56" s="2">
        <f>G56+I56+K56+M56</f>
        <v>94910.1</v>
      </c>
      <c r="F56" s="2">
        <f aca="true" t="shared" si="35" ref="E56:F60">H56+J56+L56+N56</f>
        <v>73906</v>
      </c>
      <c r="G56" s="2">
        <f>G68+G80+G94+G106</f>
        <v>71330.3</v>
      </c>
      <c r="H56" s="2">
        <f>H68+H80+H94+H106</f>
        <v>53230.2</v>
      </c>
      <c r="I56" s="2">
        <f aca="true" t="shared" si="36" ref="I56:N61">I68+I80+I94</f>
        <v>525</v>
      </c>
      <c r="J56" s="2">
        <f t="shared" si="36"/>
        <v>0</v>
      </c>
      <c r="K56" s="2">
        <f t="shared" si="36"/>
        <v>21964.3</v>
      </c>
      <c r="L56" s="2">
        <f t="shared" si="36"/>
        <v>19585.3</v>
      </c>
      <c r="M56" s="2">
        <f t="shared" si="36"/>
        <v>1090.5</v>
      </c>
      <c r="N56" s="2">
        <f t="shared" si="36"/>
        <v>1090.5</v>
      </c>
      <c r="O56" s="73"/>
      <c r="P56" s="31"/>
    </row>
    <row r="57" spans="1:16" s="12" customFormat="1" ht="42" customHeight="1">
      <c r="A57" s="71"/>
      <c r="B57" s="107"/>
      <c r="C57" s="84" t="s">
        <v>65</v>
      </c>
      <c r="D57" s="10" t="s">
        <v>13</v>
      </c>
      <c r="E57" s="2">
        <f t="shared" si="35"/>
        <v>85717.78</v>
      </c>
      <c r="F57" s="2">
        <f t="shared" si="35"/>
        <v>78152.7</v>
      </c>
      <c r="G57" s="2">
        <f>G69+G81+G95+G107</f>
        <v>61778.08</v>
      </c>
      <c r="H57" s="2">
        <f>H69+H95+H107</f>
        <v>56943</v>
      </c>
      <c r="I57" s="2">
        <f t="shared" si="36"/>
        <v>577.5</v>
      </c>
      <c r="J57" s="2">
        <f t="shared" si="36"/>
        <v>0</v>
      </c>
      <c r="K57" s="2">
        <f t="shared" si="36"/>
        <v>21556.5</v>
      </c>
      <c r="L57" s="2">
        <f t="shared" si="36"/>
        <v>19404</v>
      </c>
      <c r="M57" s="2">
        <f t="shared" si="36"/>
        <v>1805.7</v>
      </c>
      <c r="N57" s="2">
        <f t="shared" si="36"/>
        <v>1805.7</v>
      </c>
      <c r="O57" s="73"/>
      <c r="P57" s="4"/>
    </row>
    <row r="58" spans="1:16" s="12" customFormat="1" ht="26.25" customHeight="1">
      <c r="A58" s="71"/>
      <c r="B58" s="107"/>
      <c r="C58" s="85"/>
      <c r="D58" s="10" t="s">
        <v>14</v>
      </c>
      <c r="E58" s="2">
        <f t="shared" si="35"/>
        <v>103715.24300000002</v>
      </c>
      <c r="F58" s="2">
        <f t="shared" si="35"/>
        <v>97697.14300000001</v>
      </c>
      <c r="G58" s="2">
        <f>G70+G82+G96+G108</f>
        <v>63546.3</v>
      </c>
      <c r="H58" s="2">
        <f>H70+H82+H96+H108</f>
        <v>59052.9</v>
      </c>
      <c r="I58" s="2">
        <f t="shared" si="36"/>
        <v>635.3</v>
      </c>
      <c r="J58" s="2">
        <f t="shared" si="36"/>
        <v>0</v>
      </c>
      <c r="K58" s="2">
        <f t="shared" si="36"/>
        <v>38033.543</v>
      </c>
      <c r="L58" s="2">
        <f t="shared" si="36"/>
        <v>37144.143</v>
      </c>
      <c r="M58" s="2">
        <f t="shared" si="36"/>
        <v>1500.1</v>
      </c>
      <c r="N58" s="2">
        <f t="shared" si="36"/>
        <v>1500.1</v>
      </c>
      <c r="O58" s="73"/>
      <c r="P58" s="4"/>
    </row>
    <row r="59" spans="1:28" s="12" customFormat="1" ht="15.75">
      <c r="A59" s="71"/>
      <c r="B59" s="107"/>
      <c r="C59" s="85"/>
      <c r="D59" s="10" t="s">
        <v>15</v>
      </c>
      <c r="E59" s="2">
        <f t="shared" si="35"/>
        <v>112584.2</v>
      </c>
      <c r="F59" s="2">
        <f t="shared" si="35"/>
        <v>108049.3</v>
      </c>
      <c r="G59" s="2">
        <f>G71+G83+G97+G109</f>
        <v>63552.5</v>
      </c>
      <c r="H59" s="2">
        <f>H71+H83+H97+H109</f>
        <v>59017.6</v>
      </c>
      <c r="I59" s="2">
        <f t="shared" si="36"/>
        <v>0</v>
      </c>
      <c r="J59" s="2">
        <f t="shared" si="36"/>
        <v>0</v>
      </c>
      <c r="K59" s="2">
        <f t="shared" si="36"/>
        <v>47439.4</v>
      </c>
      <c r="L59" s="2">
        <f t="shared" si="36"/>
        <v>47439.4</v>
      </c>
      <c r="M59" s="2">
        <f t="shared" si="36"/>
        <v>1592.3</v>
      </c>
      <c r="N59" s="2">
        <f t="shared" si="36"/>
        <v>1592.3</v>
      </c>
      <c r="O59" s="73"/>
      <c r="P59" s="4"/>
      <c r="Q59" s="34">
        <f>H58-155</f>
        <v>58897.9</v>
      </c>
      <c r="AB59" s="33"/>
    </row>
    <row r="60" spans="1:229" s="56" customFormat="1" ht="15.75">
      <c r="A60" s="71"/>
      <c r="B60" s="107"/>
      <c r="C60" s="85"/>
      <c r="D60" s="57" t="s">
        <v>16</v>
      </c>
      <c r="E60" s="58">
        <f t="shared" si="35"/>
        <v>112752.29999999999</v>
      </c>
      <c r="F60" s="58">
        <f t="shared" si="35"/>
        <v>107962.4</v>
      </c>
      <c r="G60" s="58">
        <f>G72+G84+G98+G110</f>
        <v>63552.5</v>
      </c>
      <c r="H60" s="58">
        <f>H72+H84+H98+H110</f>
        <v>59554.9</v>
      </c>
      <c r="I60" s="58">
        <f t="shared" si="36"/>
        <v>0</v>
      </c>
      <c r="J60" s="58">
        <f t="shared" si="36"/>
        <v>0</v>
      </c>
      <c r="K60" s="58">
        <f t="shared" si="36"/>
        <v>47439.4</v>
      </c>
      <c r="L60" s="58">
        <f t="shared" si="36"/>
        <v>46647.1</v>
      </c>
      <c r="M60" s="58">
        <f t="shared" si="36"/>
        <v>1760.4</v>
      </c>
      <c r="N60" s="58">
        <f t="shared" si="36"/>
        <v>1760.4</v>
      </c>
      <c r="O60" s="73"/>
      <c r="P60" s="59"/>
      <c r="Q60" s="60">
        <f>F60/E60*100</f>
        <v>95.75183832170164</v>
      </c>
      <c r="R60" s="60"/>
      <c r="S60" s="60"/>
      <c r="T60" s="60"/>
      <c r="U60" s="60"/>
      <c r="V60" s="60"/>
      <c r="W60" s="61"/>
      <c r="X60" s="61">
        <f aca="true" t="shared" si="37" ref="X60:X66">F60/E60*100</f>
        <v>95.75183832170164</v>
      </c>
      <c r="Y60" s="61">
        <f>100-X60</f>
        <v>4.248161678298359</v>
      </c>
      <c r="Z60" s="61">
        <f>90-Y60</f>
        <v>85.75183832170164</v>
      </c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0"/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60"/>
      <c r="DC60" s="60"/>
      <c r="DD60" s="60"/>
      <c r="DE60" s="60"/>
      <c r="DF60" s="60"/>
      <c r="DG60" s="60"/>
      <c r="DH60" s="60"/>
      <c r="DI60" s="60"/>
      <c r="DJ60" s="60"/>
      <c r="DK60" s="60"/>
      <c r="DL60" s="60"/>
      <c r="DM60" s="60"/>
      <c r="DN60" s="60"/>
      <c r="DO60" s="60"/>
      <c r="DP60" s="60"/>
      <c r="DQ60" s="60"/>
      <c r="DR60" s="60"/>
      <c r="DS60" s="60"/>
      <c r="DT60" s="60"/>
      <c r="DU60" s="60"/>
      <c r="DV60" s="60"/>
      <c r="DW60" s="60"/>
      <c r="DX60" s="60"/>
      <c r="DY60" s="60"/>
      <c r="DZ60" s="60"/>
      <c r="EA60" s="60"/>
      <c r="EB60" s="60"/>
      <c r="EC60" s="60"/>
      <c r="ED60" s="60"/>
      <c r="EE60" s="60"/>
      <c r="EF60" s="60"/>
      <c r="EG60" s="60"/>
      <c r="EH60" s="60"/>
      <c r="EI60" s="60"/>
      <c r="EJ60" s="60"/>
      <c r="EK60" s="60"/>
      <c r="EL60" s="60"/>
      <c r="EM60" s="60"/>
      <c r="EN60" s="60"/>
      <c r="EO60" s="60"/>
      <c r="EP60" s="60"/>
      <c r="EQ60" s="60"/>
      <c r="ER60" s="60"/>
      <c r="ES60" s="60"/>
      <c r="ET60" s="60"/>
      <c r="EU60" s="60"/>
      <c r="EV60" s="60"/>
      <c r="EW60" s="60"/>
      <c r="EX60" s="60"/>
      <c r="EY60" s="60"/>
      <c r="EZ60" s="60"/>
      <c r="FA60" s="60"/>
      <c r="FB60" s="60"/>
      <c r="FC60" s="60"/>
      <c r="FD60" s="60"/>
      <c r="FE60" s="60"/>
      <c r="FF60" s="60"/>
      <c r="FG60" s="60"/>
      <c r="FH60" s="60"/>
      <c r="FI60" s="60"/>
      <c r="FJ60" s="60"/>
      <c r="FK60" s="60"/>
      <c r="FL60" s="60"/>
      <c r="FM60" s="60"/>
      <c r="FN60" s="60"/>
      <c r="FO60" s="60"/>
      <c r="FP60" s="60"/>
      <c r="FQ60" s="60"/>
      <c r="FR60" s="60"/>
      <c r="FS60" s="60"/>
      <c r="FT60" s="60"/>
      <c r="FU60" s="60"/>
      <c r="FV60" s="60"/>
      <c r="FW60" s="60"/>
      <c r="FX60" s="60"/>
      <c r="FY60" s="60"/>
      <c r="FZ60" s="60"/>
      <c r="GA60" s="60"/>
      <c r="GB60" s="60"/>
      <c r="GC60" s="60"/>
      <c r="GD60" s="60"/>
      <c r="GE60" s="60"/>
      <c r="GF60" s="60"/>
      <c r="GG60" s="60"/>
      <c r="GH60" s="60"/>
      <c r="GI60" s="60"/>
      <c r="GJ60" s="60"/>
      <c r="GK60" s="60"/>
      <c r="GL60" s="60"/>
      <c r="GM60" s="60"/>
      <c r="GN60" s="60"/>
      <c r="GO60" s="60"/>
      <c r="GP60" s="60"/>
      <c r="GQ60" s="60"/>
      <c r="GR60" s="60"/>
      <c r="GS60" s="60"/>
      <c r="GT60" s="60"/>
      <c r="GU60" s="60"/>
      <c r="GV60" s="60"/>
      <c r="GW60" s="60"/>
      <c r="GX60" s="60"/>
      <c r="GY60" s="60"/>
      <c r="GZ60" s="60"/>
      <c r="HA60" s="60"/>
      <c r="HB60" s="60"/>
      <c r="HC60" s="60"/>
      <c r="HD60" s="60"/>
      <c r="HE60" s="60"/>
      <c r="HF60" s="60"/>
      <c r="HG60" s="60"/>
      <c r="HH60" s="60"/>
      <c r="HI60" s="60"/>
      <c r="HJ60" s="60"/>
      <c r="HK60" s="60"/>
      <c r="HL60" s="60"/>
      <c r="HM60" s="60"/>
      <c r="HN60" s="60"/>
      <c r="HO60" s="60"/>
      <c r="HP60" s="60"/>
      <c r="HQ60" s="60"/>
      <c r="HR60" s="60"/>
      <c r="HS60" s="60"/>
      <c r="HT60" s="60"/>
      <c r="HU60" s="60"/>
    </row>
    <row r="61" spans="1:229" s="55" customFormat="1" ht="15.75">
      <c r="A61" s="71"/>
      <c r="B61" s="107"/>
      <c r="C61" s="85"/>
      <c r="D61" s="57" t="s">
        <v>17</v>
      </c>
      <c r="E61" s="58">
        <f aca="true" t="shared" si="38" ref="E61:F66">G61+I61+K61+M61</f>
        <v>112313.4</v>
      </c>
      <c r="F61" s="58">
        <f t="shared" si="38"/>
        <v>61109.45</v>
      </c>
      <c r="G61" s="58">
        <f>G73+G85+G99+G111</f>
        <v>63579</v>
      </c>
      <c r="H61" s="58">
        <f>H73+H85+H99+H111</f>
        <v>59814.45</v>
      </c>
      <c r="I61" s="58">
        <f t="shared" si="36"/>
        <v>0</v>
      </c>
      <c r="J61" s="58">
        <f t="shared" si="36"/>
        <v>0</v>
      </c>
      <c r="K61" s="58">
        <f t="shared" si="36"/>
        <v>47439.4</v>
      </c>
      <c r="L61" s="58">
        <f t="shared" si="36"/>
        <v>0</v>
      </c>
      <c r="M61" s="58">
        <f t="shared" si="36"/>
        <v>1295</v>
      </c>
      <c r="N61" s="58">
        <f t="shared" si="36"/>
        <v>1295</v>
      </c>
      <c r="O61" s="73"/>
      <c r="P61" s="59"/>
      <c r="Q61" s="60">
        <f>F61/E61*100</f>
        <v>54.40975876431485</v>
      </c>
      <c r="R61" s="60"/>
      <c r="S61" s="60"/>
      <c r="T61" s="60"/>
      <c r="U61" s="60"/>
      <c r="V61" s="60"/>
      <c r="W61" s="61">
        <f>G61-H61</f>
        <v>3764.550000000003</v>
      </c>
      <c r="X61" s="61">
        <f t="shared" si="37"/>
        <v>54.40975876431485</v>
      </c>
      <c r="Y61" s="61">
        <f aca="true" t="shared" si="39" ref="Y61:Y66">100-X61</f>
        <v>45.59024123568515</v>
      </c>
      <c r="Z61" s="61">
        <f aca="true" t="shared" si="40" ref="Z61:Z66">90-Y61</f>
        <v>44.40975876431485</v>
      </c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  <c r="CL61" s="60"/>
      <c r="CM61" s="60"/>
      <c r="CN61" s="60"/>
      <c r="CO61" s="60"/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0"/>
      <c r="DE61" s="60"/>
      <c r="DF61" s="60"/>
      <c r="DG61" s="60"/>
      <c r="DH61" s="60"/>
      <c r="DI61" s="60"/>
      <c r="DJ61" s="60"/>
      <c r="DK61" s="60"/>
      <c r="DL61" s="60"/>
      <c r="DM61" s="60"/>
      <c r="DN61" s="60"/>
      <c r="DO61" s="60"/>
      <c r="DP61" s="60"/>
      <c r="DQ61" s="60"/>
      <c r="DR61" s="60"/>
      <c r="DS61" s="60"/>
      <c r="DT61" s="60"/>
      <c r="DU61" s="60"/>
      <c r="DV61" s="60"/>
      <c r="DW61" s="60"/>
      <c r="DX61" s="60"/>
      <c r="DY61" s="60"/>
      <c r="DZ61" s="60"/>
      <c r="EA61" s="60"/>
      <c r="EB61" s="60"/>
      <c r="EC61" s="60"/>
      <c r="ED61" s="60"/>
      <c r="EE61" s="60"/>
      <c r="EF61" s="60"/>
      <c r="EG61" s="60"/>
      <c r="EH61" s="60"/>
      <c r="EI61" s="60"/>
      <c r="EJ61" s="60"/>
      <c r="EK61" s="60"/>
      <c r="EL61" s="60"/>
      <c r="EM61" s="60"/>
      <c r="EN61" s="60"/>
      <c r="EO61" s="60"/>
      <c r="EP61" s="60"/>
      <c r="EQ61" s="60"/>
      <c r="ER61" s="60"/>
      <c r="ES61" s="60"/>
      <c r="ET61" s="60"/>
      <c r="EU61" s="60"/>
      <c r="EV61" s="60"/>
      <c r="EW61" s="60"/>
      <c r="EX61" s="60"/>
      <c r="EY61" s="60"/>
      <c r="EZ61" s="60"/>
      <c r="FA61" s="60"/>
      <c r="FB61" s="60"/>
      <c r="FC61" s="60"/>
      <c r="FD61" s="60"/>
      <c r="FE61" s="60"/>
      <c r="FF61" s="60"/>
      <c r="FG61" s="60"/>
      <c r="FH61" s="60"/>
      <c r="FI61" s="60"/>
      <c r="FJ61" s="60"/>
      <c r="FK61" s="60"/>
      <c r="FL61" s="60"/>
      <c r="FM61" s="60"/>
      <c r="FN61" s="60"/>
      <c r="FO61" s="60"/>
      <c r="FP61" s="60"/>
      <c r="FQ61" s="60"/>
      <c r="FR61" s="60"/>
      <c r="FS61" s="60"/>
      <c r="FT61" s="60"/>
      <c r="FU61" s="60"/>
      <c r="FV61" s="60"/>
      <c r="FW61" s="60"/>
      <c r="FX61" s="60"/>
      <c r="FY61" s="60"/>
      <c r="FZ61" s="60"/>
      <c r="GA61" s="60"/>
      <c r="GB61" s="60"/>
      <c r="GC61" s="60"/>
      <c r="GD61" s="60"/>
      <c r="GE61" s="60"/>
      <c r="GF61" s="60"/>
      <c r="GG61" s="60"/>
      <c r="GH61" s="60"/>
      <c r="GI61" s="60"/>
      <c r="GJ61" s="60"/>
      <c r="GK61" s="60"/>
      <c r="GL61" s="60"/>
      <c r="GM61" s="60"/>
      <c r="GN61" s="60"/>
      <c r="GO61" s="60"/>
      <c r="GP61" s="60"/>
      <c r="GQ61" s="60"/>
      <c r="GR61" s="60"/>
      <c r="GS61" s="60"/>
      <c r="GT61" s="60"/>
      <c r="GU61" s="60"/>
      <c r="GV61" s="60"/>
      <c r="GW61" s="60"/>
      <c r="GX61" s="60"/>
      <c r="GY61" s="60"/>
      <c r="GZ61" s="60"/>
      <c r="HA61" s="60"/>
      <c r="HB61" s="60"/>
      <c r="HC61" s="60"/>
      <c r="HD61" s="60"/>
      <c r="HE61" s="60"/>
      <c r="HF61" s="60"/>
      <c r="HG61" s="60"/>
      <c r="HH61" s="60"/>
      <c r="HI61" s="60"/>
      <c r="HJ61" s="60"/>
      <c r="HK61" s="60"/>
      <c r="HL61" s="60"/>
      <c r="HM61" s="60"/>
      <c r="HN61" s="60"/>
      <c r="HO61" s="60"/>
      <c r="HP61" s="60"/>
      <c r="HQ61" s="60"/>
      <c r="HR61" s="60"/>
      <c r="HS61" s="60"/>
      <c r="HT61" s="60"/>
      <c r="HU61" s="60"/>
    </row>
    <row r="62" spans="1:229" s="55" customFormat="1" ht="15.75">
      <c r="A62" s="71"/>
      <c r="B62" s="107"/>
      <c r="C62" s="85"/>
      <c r="D62" s="57" t="s">
        <v>97</v>
      </c>
      <c r="E62" s="58">
        <f t="shared" si="38"/>
        <v>112013.4</v>
      </c>
      <c r="F62" s="58">
        <f t="shared" si="38"/>
        <v>60507.49999999999</v>
      </c>
      <c r="G62" s="58">
        <f>G74+G100+G112</f>
        <v>63579</v>
      </c>
      <c r="H62" s="58">
        <f aca="true" t="shared" si="41" ref="H62:N62">H74+H100+H112</f>
        <v>59512.49999999999</v>
      </c>
      <c r="I62" s="58">
        <f t="shared" si="41"/>
        <v>0</v>
      </c>
      <c r="J62" s="58">
        <f t="shared" si="41"/>
        <v>0</v>
      </c>
      <c r="K62" s="58">
        <f t="shared" si="41"/>
        <v>47439.4</v>
      </c>
      <c r="L62" s="58">
        <f t="shared" si="41"/>
        <v>0</v>
      </c>
      <c r="M62" s="58">
        <f t="shared" si="41"/>
        <v>995</v>
      </c>
      <c r="N62" s="58">
        <f t="shared" si="41"/>
        <v>995</v>
      </c>
      <c r="O62" s="73"/>
      <c r="P62" s="59"/>
      <c r="Q62" s="60">
        <f>F62/E62*100</f>
        <v>54.01809069272069</v>
      </c>
      <c r="R62" s="60"/>
      <c r="S62" s="60"/>
      <c r="T62" s="60"/>
      <c r="U62" s="60"/>
      <c r="V62" s="60"/>
      <c r="W62" s="61"/>
      <c r="X62" s="61">
        <f t="shared" si="37"/>
        <v>54.01809069272069</v>
      </c>
      <c r="Y62" s="61">
        <f t="shared" si="39"/>
        <v>45.98190930727931</v>
      </c>
      <c r="Z62" s="61">
        <f t="shared" si="40"/>
        <v>44.01809069272069</v>
      </c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  <c r="DV62" s="60"/>
      <c r="DW62" s="60"/>
      <c r="DX62" s="60"/>
      <c r="DY62" s="60"/>
      <c r="DZ62" s="60"/>
      <c r="EA62" s="60"/>
      <c r="EB62" s="60"/>
      <c r="EC62" s="60"/>
      <c r="ED62" s="60"/>
      <c r="EE62" s="60"/>
      <c r="EF62" s="60"/>
      <c r="EG62" s="60"/>
      <c r="EH62" s="60"/>
      <c r="EI62" s="60"/>
      <c r="EJ62" s="60"/>
      <c r="EK62" s="60"/>
      <c r="EL62" s="60"/>
      <c r="EM62" s="60"/>
      <c r="EN62" s="60"/>
      <c r="EO62" s="60"/>
      <c r="EP62" s="60"/>
      <c r="EQ62" s="60"/>
      <c r="ER62" s="60"/>
      <c r="ES62" s="60"/>
      <c r="ET62" s="60"/>
      <c r="EU62" s="60"/>
      <c r="EV62" s="60"/>
      <c r="EW62" s="60"/>
      <c r="EX62" s="60"/>
      <c r="EY62" s="60"/>
      <c r="EZ62" s="60"/>
      <c r="FA62" s="60"/>
      <c r="FB62" s="60"/>
      <c r="FC62" s="60"/>
      <c r="FD62" s="60"/>
      <c r="FE62" s="60"/>
      <c r="FF62" s="60"/>
      <c r="FG62" s="60"/>
      <c r="FH62" s="60"/>
      <c r="FI62" s="60"/>
      <c r="FJ62" s="60"/>
      <c r="FK62" s="60"/>
      <c r="FL62" s="60"/>
      <c r="FM62" s="60"/>
      <c r="FN62" s="60"/>
      <c r="FO62" s="60"/>
      <c r="FP62" s="60"/>
      <c r="FQ62" s="60"/>
      <c r="FR62" s="60"/>
      <c r="FS62" s="60"/>
      <c r="FT62" s="60"/>
      <c r="FU62" s="60"/>
      <c r="FV62" s="60"/>
      <c r="FW62" s="60"/>
      <c r="FX62" s="60"/>
      <c r="FY62" s="60"/>
      <c r="FZ62" s="60"/>
      <c r="GA62" s="60"/>
      <c r="GB62" s="60"/>
      <c r="GC62" s="60"/>
      <c r="GD62" s="60"/>
      <c r="GE62" s="60"/>
      <c r="GF62" s="60"/>
      <c r="GG62" s="60"/>
      <c r="GH62" s="60"/>
      <c r="GI62" s="60"/>
      <c r="GJ62" s="60"/>
      <c r="GK62" s="60"/>
      <c r="GL62" s="60"/>
      <c r="GM62" s="60"/>
      <c r="GN62" s="60"/>
      <c r="GO62" s="60"/>
      <c r="GP62" s="60"/>
      <c r="GQ62" s="60"/>
      <c r="GR62" s="60"/>
      <c r="GS62" s="60"/>
      <c r="GT62" s="60"/>
      <c r="GU62" s="60"/>
      <c r="GV62" s="60"/>
      <c r="GW62" s="60"/>
      <c r="GX62" s="60"/>
      <c r="GY62" s="60"/>
      <c r="GZ62" s="60"/>
      <c r="HA62" s="60"/>
      <c r="HB62" s="60"/>
      <c r="HC62" s="60"/>
      <c r="HD62" s="60"/>
      <c r="HE62" s="60"/>
      <c r="HF62" s="60"/>
      <c r="HG62" s="60"/>
      <c r="HH62" s="60"/>
      <c r="HI62" s="60"/>
      <c r="HJ62" s="60"/>
      <c r="HK62" s="60"/>
      <c r="HL62" s="60"/>
      <c r="HM62" s="60"/>
      <c r="HN62" s="60"/>
      <c r="HO62" s="60"/>
      <c r="HP62" s="60"/>
      <c r="HQ62" s="60"/>
      <c r="HR62" s="60"/>
      <c r="HS62" s="60"/>
      <c r="HT62" s="60"/>
      <c r="HU62" s="60"/>
    </row>
    <row r="63" spans="1:229" s="55" customFormat="1" ht="15.75">
      <c r="A63" s="71"/>
      <c r="B63" s="107"/>
      <c r="C63" s="85"/>
      <c r="D63" s="57" t="s">
        <v>98</v>
      </c>
      <c r="E63" s="58">
        <f t="shared" si="38"/>
        <v>112013.4</v>
      </c>
      <c r="F63" s="58">
        <f t="shared" si="38"/>
        <v>60507.49999999999</v>
      </c>
      <c r="G63" s="58">
        <f aca="true" t="shared" si="42" ref="G63:N63">G75+G101+G113</f>
        <v>63579</v>
      </c>
      <c r="H63" s="58">
        <f t="shared" si="42"/>
        <v>59512.49999999999</v>
      </c>
      <c r="I63" s="58">
        <f t="shared" si="42"/>
        <v>0</v>
      </c>
      <c r="J63" s="58">
        <f t="shared" si="42"/>
        <v>0</v>
      </c>
      <c r="K63" s="58">
        <f t="shared" si="42"/>
        <v>47439.4</v>
      </c>
      <c r="L63" s="58">
        <f t="shared" si="42"/>
        <v>0</v>
      </c>
      <c r="M63" s="58">
        <f t="shared" si="42"/>
        <v>995</v>
      </c>
      <c r="N63" s="58">
        <f t="shared" si="42"/>
        <v>995</v>
      </c>
      <c r="O63" s="73"/>
      <c r="P63" s="59"/>
      <c r="Q63" s="60">
        <f>F63/E63*100</f>
        <v>54.01809069272069</v>
      </c>
      <c r="R63" s="60"/>
      <c r="S63" s="60"/>
      <c r="T63" s="60"/>
      <c r="U63" s="60"/>
      <c r="V63" s="60"/>
      <c r="W63" s="61"/>
      <c r="X63" s="61">
        <f t="shared" si="37"/>
        <v>54.01809069272069</v>
      </c>
      <c r="Y63" s="61">
        <f t="shared" si="39"/>
        <v>45.98190930727931</v>
      </c>
      <c r="Z63" s="61">
        <f t="shared" si="40"/>
        <v>44.01809069272069</v>
      </c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  <c r="CL63" s="60"/>
      <c r="CM63" s="60"/>
      <c r="CN63" s="60"/>
      <c r="CO63" s="60"/>
      <c r="CP63" s="60"/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60"/>
      <c r="DC63" s="60"/>
      <c r="DD63" s="60"/>
      <c r="DE63" s="60"/>
      <c r="DF63" s="60"/>
      <c r="DG63" s="60"/>
      <c r="DH63" s="60"/>
      <c r="DI63" s="60"/>
      <c r="DJ63" s="60"/>
      <c r="DK63" s="60"/>
      <c r="DL63" s="60"/>
      <c r="DM63" s="60"/>
      <c r="DN63" s="60"/>
      <c r="DO63" s="60"/>
      <c r="DP63" s="60"/>
      <c r="DQ63" s="60"/>
      <c r="DR63" s="60"/>
      <c r="DS63" s="60"/>
      <c r="DT63" s="60"/>
      <c r="DU63" s="60"/>
      <c r="DV63" s="60"/>
      <c r="DW63" s="60"/>
      <c r="DX63" s="60"/>
      <c r="DY63" s="60"/>
      <c r="DZ63" s="60"/>
      <c r="EA63" s="60"/>
      <c r="EB63" s="60"/>
      <c r="EC63" s="60"/>
      <c r="ED63" s="60"/>
      <c r="EE63" s="60"/>
      <c r="EF63" s="60"/>
      <c r="EG63" s="60"/>
      <c r="EH63" s="60"/>
      <c r="EI63" s="60"/>
      <c r="EJ63" s="60"/>
      <c r="EK63" s="60"/>
      <c r="EL63" s="60"/>
      <c r="EM63" s="60"/>
      <c r="EN63" s="60"/>
      <c r="EO63" s="60"/>
      <c r="EP63" s="60"/>
      <c r="EQ63" s="60"/>
      <c r="ER63" s="60"/>
      <c r="ES63" s="60"/>
      <c r="ET63" s="60"/>
      <c r="EU63" s="60"/>
      <c r="EV63" s="60"/>
      <c r="EW63" s="60"/>
      <c r="EX63" s="60"/>
      <c r="EY63" s="60"/>
      <c r="EZ63" s="60"/>
      <c r="FA63" s="60"/>
      <c r="FB63" s="60"/>
      <c r="FC63" s="60"/>
      <c r="FD63" s="60"/>
      <c r="FE63" s="60"/>
      <c r="FF63" s="60"/>
      <c r="FG63" s="60"/>
      <c r="FH63" s="60"/>
      <c r="FI63" s="60"/>
      <c r="FJ63" s="60"/>
      <c r="FK63" s="60"/>
      <c r="FL63" s="60"/>
      <c r="FM63" s="60"/>
      <c r="FN63" s="60"/>
      <c r="FO63" s="60"/>
      <c r="FP63" s="60"/>
      <c r="FQ63" s="60"/>
      <c r="FR63" s="60"/>
      <c r="FS63" s="60"/>
      <c r="FT63" s="60"/>
      <c r="FU63" s="60"/>
      <c r="FV63" s="60"/>
      <c r="FW63" s="60"/>
      <c r="FX63" s="60"/>
      <c r="FY63" s="60"/>
      <c r="FZ63" s="60"/>
      <c r="GA63" s="60"/>
      <c r="GB63" s="60"/>
      <c r="GC63" s="60"/>
      <c r="GD63" s="60"/>
      <c r="GE63" s="60"/>
      <c r="GF63" s="60"/>
      <c r="GG63" s="60"/>
      <c r="GH63" s="60"/>
      <c r="GI63" s="60"/>
      <c r="GJ63" s="60"/>
      <c r="GK63" s="60"/>
      <c r="GL63" s="60"/>
      <c r="GM63" s="60"/>
      <c r="GN63" s="60"/>
      <c r="GO63" s="60"/>
      <c r="GP63" s="60"/>
      <c r="GQ63" s="60"/>
      <c r="GR63" s="60"/>
      <c r="GS63" s="60"/>
      <c r="GT63" s="60"/>
      <c r="GU63" s="60"/>
      <c r="GV63" s="60"/>
      <c r="GW63" s="60"/>
      <c r="GX63" s="60"/>
      <c r="GY63" s="60"/>
      <c r="GZ63" s="60"/>
      <c r="HA63" s="60"/>
      <c r="HB63" s="60"/>
      <c r="HC63" s="60"/>
      <c r="HD63" s="60"/>
      <c r="HE63" s="60"/>
      <c r="HF63" s="60"/>
      <c r="HG63" s="60"/>
      <c r="HH63" s="60"/>
      <c r="HI63" s="60"/>
      <c r="HJ63" s="60"/>
      <c r="HK63" s="60"/>
      <c r="HL63" s="60"/>
      <c r="HM63" s="60"/>
      <c r="HN63" s="60"/>
      <c r="HO63" s="60"/>
      <c r="HP63" s="60"/>
      <c r="HQ63" s="60"/>
      <c r="HR63" s="60"/>
      <c r="HS63" s="60"/>
      <c r="HT63" s="60"/>
      <c r="HU63" s="60"/>
    </row>
    <row r="64" spans="1:26" s="12" customFormat="1" ht="15.75">
      <c r="A64" s="71"/>
      <c r="B64" s="107"/>
      <c r="C64" s="85"/>
      <c r="D64" s="10" t="s">
        <v>99</v>
      </c>
      <c r="E64" s="2">
        <f t="shared" si="38"/>
        <v>112013.4</v>
      </c>
      <c r="F64" s="2">
        <f t="shared" si="38"/>
        <v>0</v>
      </c>
      <c r="G64" s="2">
        <f aca="true" t="shared" si="43" ref="G64:N64">G76+G102+G114</f>
        <v>63579</v>
      </c>
      <c r="H64" s="2">
        <f t="shared" si="43"/>
        <v>0</v>
      </c>
      <c r="I64" s="2">
        <f t="shared" si="43"/>
        <v>0</v>
      </c>
      <c r="J64" s="2">
        <f t="shared" si="43"/>
        <v>0</v>
      </c>
      <c r="K64" s="2">
        <f t="shared" si="43"/>
        <v>47439.4</v>
      </c>
      <c r="L64" s="2">
        <f t="shared" si="43"/>
        <v>0</v>
      </c>
      <c r="M64" s="2">
        <f t="shared" si="43"/>
        <v>995</v>
      </c>
      <c r="N64" s="2">
        <f t="shared" si="43"/>
        <v>0</v>
      </c>
      <c r="O64" s="73"/>
      <c r="P64" s="4"/>
      <c r="W64" s="49"/>
      <c r="X64" s="49">
        <f t="shared" si="37"/>
        <v>0</v>
      </c>
      <c r="Y64" s="49">
        <f t="shared" si="39"/>
        <v>100</v>
      </c>
      <c r="Z64" s="49">
        <f t="shared" si="40"/>
        <v>-10</v>
      </c>
    </row>
    <row r="65" spans="1:26" s="12" customFormat="1" ht="15.75">
      <c r="A65" s="71"/>
      <c r="B65" s="107"/>
      <c r="C65" s="85"/>
      <c r="D65" s="10" t="s">
        <v>100</v>
      </c>
      <c r="E65" s="2">
        <f t="shared" si="38"/>
        <v>112013.4</v>
      </c>
      <c r="F65" s="2">
        <f t="shared" si="38"/>
        <v>0</v>
      </c>
      <c r="G65" s="2">
        <f aca="true" t="shared" si="44" ref="G65:N65">G77+G103+G115</f>
        <v>63579</v>
      </c>
      <c r="H65" s="2">
        <f t="shared" si="44"/>
        <v>0</v>
      </c>
      <c r="I65" s="2">
        <f t="shared" si="44"/>
        <v>0</v>
      </c>
      <c r="J65" s="2">
        <f t="shared" si="44"/>
        <v>0</v>
      </c>
      <c r="K65" s="2">
        <f t="shared" si="44"/>
        <v>47439.4</v>
      </c>
      <c r="L65" s="2">
        <f t="shared" si="44"/>
        <v>0</v>
      </c>
      <c r="M65" s="2">
        <f t="shared" si="44"/>
        <v>995</v>
      </c>
      <c r="N65" s="2">
        <f t="shared" si="44"/>
        <v>0</v>
      </c>
      <c r="O65" s="73"/>
      <c r="P65" s="4"/>
      <c r="W65" s="49"/>
      <c r="X65" s="49">
        <f t="shared" si="37"/>
        <v>0</v>
      </c>
      <c r="Y65" s="49">
        <f t="shared" si="39"/>
        <v>100</v>
      </c>
      <c r="Z65" s="49">
        <f t="shared" si="40"/>
        <v>-10</v>
      </c>
    </row>
    <row r="66" spans="1:26" s="12" customFormat="1" ht="15.75">
      <c r="A66" s="71"/>
      <c r="B66" s="107"/>
      <c r="C66" s="86"/>
      <c r="D66" s="10" t="s">
        <v>101</v>
      </c>
      <c r="E66" s="2">
        <f t="shared" si="38"/>
        <v>112013.4</v>
      </c>
      <c r="F66" s="2">
        <f t="shared" si="38"/>
        <v>0</v>
      </c>
      <c r="G66" s="2">
        <f aca="true" t="shared" si="45" ref="G66:N66">G78+G104+G116</f>
        <v>63579</v>
      </c>
      <c r="H66" s="2">
        <f t="shared" si="45"/>
        <v>0</v>
      </c>
      <c r="I66" s="2">
        <f>I78+I104+I116</f>
        <v>0</v>
      </c>
      <c r="J66" s="2">
        <f t="shared" si="45"/>
        <v>0</v>
      </c>
      <c r="K66" s="2">
        <f t="shared" si="45"/>
        <v>47439.4</v>
      </c>
      <c r="L66" s="2">
        <f t="shared" si="45"/>
        <v>0</v>
      </c>
      <c r="M66" s="2">
        <f t="shared" si="45"/>
        <v>995</v>
      </c>
      <c r="N66" s="2">
        <f t="shared" si="45"/>
        <v>0</v>
      </c>
      <c r="O66" s="73"/>
      <c r="P66" s="4"/>
      <c r="W66" s="49"/>
      <c r="X66" s="49">
        <f t="shared" si="37"/>
        <v>0</v>
      </c>
      <c r="Y66" s="49">
        <f t="shared" si="39"/>
        <v>100</v>
      </c>
      <c r="Z66" s="49">
        <f t="shared" si="40"/>
        <v>-10</v>
      </c>
    </row>
    <row r="67" spans="1:16" s="12" customFormat="1" ht="15" customHeight="1">
      <c r="A67" s="71"/>
      <c r="B67" s="96" t="s">
        <v>22</v>
      </c>
      <c r="D67" s="1" t="s">
        <v>11</v>
      </c>
      <c r="E67" s="2">
        <f>SUM(E68:E78)</f>
        <v>1170202.4229999997</v>
      </c>
      <c r="F67" s="2">
        <f aca="true" t="shared" si="46" ref="F67:N67">SUM(F68:F78)</f>
        <v>644958.193</v>
      </c>
      <c r="G67" s="3">
        <f t="shared" si="46"/>
        <v>694796.0800000001</v>
      </c>
      <c r="H67" s="3">
        <f t="shared" si="46"/>
        <v>463864.25000000006</v>
      </c>
      <c r="I67" s="3">
        <f t="shared" si="46"/>
        <v>1212.8</v>
      </c>
      <c r="J67" s="3">
        <f t="shared" si="46"/>
        <v>0</v>
      </c>
      <c r="K67" s="3">
        <f t="shared" si="46"/>
        <v>460334.54300000006</v>
      </c>
      <c r="L67" s="3">
        <f>SUM(L68:L78)</f>
        <v>170219.943</v>
      </c>
      <c r="M67" s="3">
        <f t="shared" si="46"/>
        <v>13859</v>
      </c>
      <c r="N67" s="3">
        <f t="shared" si="46"/>
        <v>10874</v>
      </c>
      <c r="O67" s="73"/>
      <c r="P67" s="4"/>
    </row>
    <row r="68" spans="1:16" s="35" customFormat="1" ht="53.25" customHeight="1">
      <c r="A68" s="71"/>
      <c r="B68" s="96"/>
      <c r="C68" s="1" t="s">
        <v>68</v>
      </c>
      <c r="D68" s="1" t="s">
        <v>12</v>
      </c>
      <c r="E68" s="2">
        <f>G68+I68+K68+M68</f>
        <v>91017.1</v>
      </c>
      <c r="F68" s="2">
        <f>H68+J68+L68+N68</f>
        <v>73591</v>
      </c>
      <c r="G68" s="3">
        <f>17212+H68-1400-29.9</f>
        <v>68857.3</v>
      </c>
      <c r="H68" s="3">
        <f>53075.1+0.1</f>
        <v>53075.2</v>
      </c>
      <c r="I68" s="3">
        <v>0</v>
      </c>
      <c r="J68" s="3">
        <v>0</v>
      </c>
      <c r="K68" s="3">
        <f>1644+L68</f>
        <v>21229.3</v>
      </c>
      <c r="L68" s="3">
        <v>19585.3</v>
      </c>
      <c r="M68" s="3">
        <v>930.5</v>
      </c>
      <c r="N68" s="3">
        <f aca="true" t="shared" si="47" ref="N68:N73">M68</f>
        <v>930.5</v>
      </c>
      <c r="O68" s="73"/>
      <c r="P68" s="4"/>
    </row>
    <row r="69" spans="1:16" ht="54.75" customHeight="1">
      <c r="A69" s="71"/>
      <c r="B69" s="96"/>
      <c r="C69" s="1" t="s">
        <v>67</v>
      </c>
      <c r="D69" s="1" t="s">
        <v>13</v>
      </c>
      <c r="E69" s="2">
        <f aca="true" t="shared" si="48" ref="E69:F72">G69+I69+K69+M69</f>
        <v>84342.78</v>
      </c>
      <c r="F69" s="2">
        <f t="shared" si="48"/>
        <v>77737.7</v>
      </c>
      <c r="G69" s="3">
        <f>H69+650.58+892.5+250+300+900+552+330</f>
        <v>60403.08</v>
      </c>
      <c r="H69" s="3">
        <f>57048.6-H95-0.1+371.7+11.8+12-656</f>
        <v>56528</v>
      </c>
      <c r="I69" s="3">
        <v>577.5</v>
      </c>
      <c r="J69" s="3">
        <v>0</v>
      </c>
      <c r="K69" s="3">
        <f>1344+L69+808.5</f>
        <v>21556.5</v>
      </c>
      <c r="L69" s="3">
        <f>26596.1-8847.3+1655.2</f>
        <v>19404</v>
      </c>
      <c r="M69" s="3">
        <v>1805.7</v>
      </c>
      <c r="N69" s="3">
        <f t="shared" si="47"/>
        <v>1805.7</v>
      </c>
      <c r="O69" s="73"/>
      <c r="P69" s="4"/>
    </row>
    <row r="70" spans="1:16" ht="26.25" customHeight="1">
      <c r="A70" s="71"/>
      <c r="B70" s="96"/>
      <c r="C70" s="70" t="s">
        <v>84</v>
      </c>
      <c r="D70" s="1" t="s">
        <v>14</v>
      </c>
      <c r="E70" s="2">
        <f t="shared" si="48"/>
        <v>103006.24300000002</v>
      </c>
      <c r="F70" s="2">
        <f t="shared" si="48"/>
        <v>97282.14300000001</v>
      </c>
      <c r="G70" s="3">
        <f>H70+4199.4</f>
        <v>62837.3</v>
      </c>
      <c r="H70" s="3">
        <f>58855.9-H96+42</f>
        <v>58637.9</v>
      </c>
      <c r="I70" s="3">
        <v>635.3</v>
      </c>
      <c r="J70" s="3">
        <v>0</v>
      </c>
      <c r="K70" s="3">
        <f>L70+889.4</f>
        <v>38033.543</v>
      </c>
      <c r="L70" s="3">
        <f>38311.443-1167.3</f>
        <v>37144.143</v>
      </c>
      <c r="M70" s="3">
        <f>1500.1</f>
        <v>1500.1</v>
      </c>
      <c r="N70" s="3">
        <f t="shared" si="47"/>
        <v>1500.1</v>
      </c>
      <c r="O70" s="73"/>
      <c r="P70" s="4"/>
    </row>
    <row r="71" spans="1:16" ht="21" customHeight="1">
      <c r="A71" s="71"/>
      <c r="B71" s="96"/>
      <c r="C71" s="71"/>
      <c r="D71" s="1" t="s">
        <v>15</v>
      </c>
      <c r="E71" s="2">
        <f t="shared" si="48"/>
        <v>111869.00000000001</v>
      </c>
      <c r="F71" s="2">
        <f>H71+J71+L71+N71</f>
        <v>107888.1</v>
      </c>
      <c r="G71" s="3">
        <f>G70</f>
        <v>62837.3</v>
      </c>
      <c r="H71" s="3">
        <v>58856.4</v>
      </c>
      <c r="I71" s="3">
        <v>0</v>
      </c>
      <c r="J71" s="3">
        <v>0</v>
      </c>
      <c r="K71" s="3">
        <v>47439.4</v>
      </c>
      <c r="L71" s="3">
        <v>47439.4</v>
      </c>
      <c r="M71" s="3">
        <v>1592.3</v>
      </c>
      <c r="N71" s="3">
        <f t="shared" si="47"/>
        <v>1592.3</v>
      </c>
      <c r="O71" s="73"/>
      <c r="P71" s="4"/>
    </row>
    <row r="72" spans="1:23" ht="21" customHeight="1">
      <c r="A72" s="71"/>
      <c r="B72" s="96"/>
      <c r="C72" s="71"/>
      <c r="D72" s="1" t="s">
        <v>16</v>
      </c>
      <c r="E72" s="2">
        <f t="shared" si="48"/>
        <v>112037.1</v>
      </c>
      <c r="F72" s="2">
        <f t="shared" si="48"/>
        <v>107541.2</v>
      </c>
      <c r="G72" s="3">
        <f aca="true" t="shared" si="49" ref="G72:G78">G71</f>
        <v>62837.3</v>
      </c>
      <c r="H72" s="3">
        <f>59108.9+24.8</f>
        <v>59133.700000000004</v>
      </c>
      <c r="I72" s="3">
        <v>0</v>
      </c>
      <c r="J72" s="3">
        <v>0</v>
      </c>
      <c r="K72" s="3">
        <f aca="true" t="shared" si="50" ref="K72:K78">K71</f>
        <v>47439.4</v>
      </c>
      <c r="L72" s="3">
        <v>46647.1</v>
      </c>
      <c r="M72" s="3">
        <f>755.4+775+30+200-M452</f>
        <v>1760.4</v>
      </c>
      <c r="N72" s="3">
        <f>M72</f>
        <v>1760.4</v>
      </c>
      <c r="O72" s="73"/>
      <c r="P72" s="4"/>
      <c r="W72" s="36">
        <f>G72-H72</f>
        <v>3703.5999999999985</v>
      </c>
    </row>
    <row r="73" spans="1:23" ht="21" customHeight="1">
      <c r="A73" s="71"/>
      <c r="B73" s="96"/>
      <c r="C73" s="71"/>
      <c r="D73" s="1" t="s">
        <v>17</v>
      </c>
      <c r="E73" s="2">
        <f aca="true" t="shared" si="51" ref="E73:F78">G73+I73+K73+M73</f>
        <v>111571.70000000001</v>
      </c>
      <c r="F73" s="2">
        <f t="shared" si="51"/>
        <v>60689.65</v>
      </c>
      <c r="G73" s="3">
        <f>G72</f>
        <v>62837.3</v>
      </c>
      <c r="H73" s="3">
        <v>59394.65</v>
      </c>
      <c r="I73" s="3">
        <v>0</v>
      </c>
      <c r="J73" s="3">
        <v>0</v>
      </c>
      <c r="K73" s="3">
        <f t="shared" si="50"/>
        <v>47439.4</v>
      </c>
      <c r="L73" s="3">
        <v>0</v>
      </c>
      <c r="M73" s="3">
        <v>1295</v>
      </c>
      <c r="N73" s="3">
        <f t="shared" si="47"/>
        <v>1295</v>
      </c>
      <c r="O73" s="73"/>
      <c r="P73" s="4"/>
      <c r="W73" s="36">
        <f>G73-H73</f>
        <v>3442.6500000000015</v>
      </c>
    </row>
    <row r="74" spans="1:16" ht="21" customHeight="1">
      <c r="A74" s="71"/>
      <c r="B74" s="96"/>
      <c r="C74" s="71"/>
      <c r="D74" s="1" t="s">
        <v>97</v>
      </c>
      <c r="E74" s="2">
        <f t="shared" si="51"/>
        <v>111271.70000000001</v>
      </c>
      <c r="F74" s="2">
        <f t="shared" si="51"/>
        <v>60114.2</v>
      </c>
      <c r="G74" s="3">
        <f>G73</f>
        <v>62837.3</v>
      </c>
      <c r="H74" s="3">
        <v>59119.2</v>
      </c>
      <c r="I74" s="3">
        <v>0</v>
      </c>
      <c r="J74" s="3">
        <v>0</v>
      </c>
      <c r="K74" s="3">
        <f t="shared" si="50"/>
        <v>47439.4</v>
      </c>
      <c r="L74" s="3">
        <v>0</v>
      </c>
      <c r="M74" s="3">
        <v>995</v>
      </c>
      <c r="N74" s="3">
        <f>M74</f>
        <v>995</v>
      </c>
      <c r="O74" s="73"/>
      <c r="P74" s="4"/>
    </row>
    <row r="75" spans="1:16" ht="21" customHeight="1">
      <c r="A75" s="71"/>
      <c r="B75" s="96"/>
      <c r="C75" s="71"/>
      <c r="D75" s="1" t="s">
        <v>98</v>
      </c>
      <c r="E75" s="2">
        <f t="shared" si="51"/>
        <v>111271.70000000001</v>
      </c>
      <c r="F75" s="2">
        <f t="shared" si="51"/>
        <v>60114.2</v>
      </c>
      <c r="G75" s="3">
        <f t="shared" si="49"/>
        <v>62837.3</v>
      </c>
      <c r="H75" s="3">
        <v>59119.2</v>
      </c>
      <c r="I75" s="3">
        <v>0</v>
      </c>
      <c r="J75" s="3">
        <v>0</v>
      </c>
      <c r="K75" s="3">
        <f t="shared" si="50"/>
        <v>47439.4</v>
      </c>
      <c r="L75" s="3">
        <v>0</v>
      </c>
      <c r="M75" s="3">
        <f>M74</f>
        <v>995</v>
      </c>
      <c r="N75" s="3">
        <f>M75</f>
        <v>995</v>
      </c>
      <c r="O75" s="73"/>
      <c r="P75" s="4"/>
    </row>
    <row r="76" spans="1:16" ht="21" customHeight="1">
      <c r="A76" s="71"/>
      <c r="B76" s="96"/>
      <c r="C76" s="71"/>
      <c r="D76" s="1" t="s">
        <v>99</v>
      </c>
      <c r="E76" s="2">
        <f t="shared" si="51"/>
        <v>111271.70000000001</v>
      </c>
      <c r="F76" s="2">
        <f t="shared" si="51"/>
        <v>0</v>
      </c>
      <c r="G76" s="3">
        <f t="shared" si="49"/>
        <v>62837.3</v>
      </c>
      <c r="H76" s="3">
        <v>0</v>
      </c>
      <c r="I76" s="3">
        <v>0</v>
      </c>
      <c r="J76" s="3">
        <v>0</v>
      </c>
      <c r="K76" s="3">
        <f t="shared" si="50"/>
        <v>47439.4</v>
      </c>
      <c r="L76" s="3">
        <v>0</v>
      </c>
      <c r="M76" s="3">
        <f>M75</f>
        <v>995</v>
      </c>
      <c r="N76" s="3">
        <v>0</v>
      </c>
      <c r="O76" s="73"/>
      <c r="P76" s="4"/>
    </row>
    <row r="77" spans="1:16" ht="21" customHeight="1">
      <c r="A77" s="71"/>
      <c r="B77" s="96"/>
      <c r="C77" s="71"/>
      <c r="D77" s="1" t="s">
        <v>100</v>
      </c>
      <c r="E77" s="2">
        <f t="shared" si="51"/>
        <v>111271.70000000001</v>
      </c>
      <c r="F77" s="2">
        <f t="shared" si="51"/>
        <v>0</v>
      </c>
      <c r="G77" s="3">
        <f t="shared" si="49"/>
        <v>62837.3</v>
      </c>
      <c r="H77" s="3">
        <v>0</v>
      </c>
      <c r="I77" s="3">
        <v>0</v>
      </c>
      <c r="J77" s="3">
        <v>0</v>
      </c>
      <c r="K77" s="3">
        <f t="shared" si="50"/>
        <v>47439.4</v>
      </c>
      <c r="L77" s="3">
        <v>0</v>
      </c>
      <c r="M77" s="3">
        <f>M76</f>
        <v>995</v>
      </c>
      <c r="N77" s="3">
        <v>0</v>
      </c>
      <c r="O77" s="73"/>
      <c r="P77" s="4"/>
    </row>
    <row r="78" spans="1:16" ht="21" customHeight="1">
      <c r="A78" s="71"/>
      <c r="B78" s="96"/>
      <c r="C78" s="87"/>
      <c r="D78" s="1" t="s">
        <v>101</v>
      </c>
      <c r="E78" s="2">
        <f t="shared" si="51"/>
        <v>111271.70000000001</v>
      </c>
      <c r="F78" s="2">
        <f t="shared" si="51"/>
        <v>0</v>
      </c>
      <c r="G78" s="3">
        <f t="shared" si="49"/>
        <v>62837.3</v>
      </c>
      <c r="H78" s="3">
        <v>0</v>
      </c>
      <c r="I78" s="3">
        <v>0</v>
      </c>
      <c r="J78" s="3">
        <v>0</v>
      </c>
      <c r="K78" s="3">
        <f t="shared" si="50"/>
        <v>47439.4</v>
      </c>
      <c r="L78" s="3">
        <v>0</v>
      </c>
      <c r="M78" s="3">
        <f>M77</f>
        <v>995</v>
      </c>
      <c r="N78" s="3">
        <v>0</v>
      </c>
      <c r="O78" s="73"/>
      <c r="P78" s="4"/>
    </row>
    <row r="79" spans="1:16" ht="15.75">
      <c r="A79" s="71"/>
      <c r="B79" s="96" t="s">
        <v>23</v>
      </c>
      <c r="C79" s="70"/>
      <c r="D79" s="1" t="s">
        <v>11</v>
      </c>
      <c r="E79" s="2">
        <f>SUM(E80:E85)</f>
        <v>3398</v>
      </c>
      <c r="F79" s="2">
        <f aca="true" t="shared" si="52" ref="F79:L79">SUM(F80:F85)</f>
        <v>80</v>
      </c>
      <c r="G79" s="3">
        <f t="shared" si="52"/>
        <v>2058</v>
      </c>
      <c r="H79" s="3">
        <f t="shared" si="52"/>
        <v>0</v>
      </c>
      <c r="I79" s="3">
        <f>SUM(I80:I85)</f>
        <v>525</v>
      </c>
      <c r="J79" s="3">
        <f>SUM(J80:J85)</f>
        <v>0</v>
      </c>
      <c r="K79" s="3">
        <f t="shared" si="52"/>
        <v>735</v>
      </c>
      <c r="L79" s="3">
        <f t="shared" si="52"/>
        <v>0</v>
      </c>
      <c r="M79" s="3">
        <f>SUM(M80:M85)</f>
        <v>80</v>
      </c>
      <c r="N79" s="3">
        <f>SUM(N80:N85)</f>
        <v>80</v>
      </c>
      <c r="O79" s="73"/>
      <c r="P79" s="4"/>
    </row>
    <row r="80" spans="1:16" s="26" customFormat="1" ht="24" customHeight="1">
      <c r="A80" s="71"/>
      <c r="B80" s="96"/>
      <c r="C80" s="71"/>
      <c r="D80" s="1" t="s">
        <v>12</v>
      </c>
      <c r="E80" s="2">
        <f>G80+I80+K80+M80</f>
        <v>3398</v>
      </c>
      <c r="F80" s="2">
        <f>H80+J80+L80+N80</f>
        <v>80</v>
      </c>
      <c r="G80" s="3">
        <v>2058</v>
      </c>
      <c r="H80" s="3">
        <v>0</v>
      </c>
      <c r="I80" s="3">
        <v>525</v>
      </c>
      <c r="J80" s="3"/>
      <c r="K80" s="3">
        <f>735</f>
        <v>735</v>
      </c>
      <c r="L80" s="3">
        <v>0</v>
      </c>
      <c r="M80" s="3">
        <v>80</v>
      </c>
      <c r="N80" s="3">
        <f>M80</f>
        <v>80</v>
      </c>
      <c r="O80" s="73"/>
      <c r="P80" s="4"/>
    </row>
    <row r="81" spans="1:16" ht="39.75" customHeight="1">
      <c r="A81" s="71"/>
      <c r="B81" s="96"/>
      <c r="C81" s="71"/>
      <c r="D81" s="1" t="s">
        <v>13</v>
      </c>
      <c r="E81" s="75" t="s">
        <v>106</v>
      </c>
      <c r="F81" s="76"/>
      <c r="G81" s="76"/>
      <c r="H81" s="76"/>
      <c r="I81" s="76"/>
      <c r="J81" s="76"/>
      <c r="K81" s="76"/>
      <c r="L81" s="76"/>
      <c r="M81" s="76"/>
      <c r="N81" s="77"/>
      <c r="O81" s="73"/>
      <c r="P81" s="4"/>
    </row>
    <row r="82" spans="1:16" ht="15" customHeight="1" hidden="1">
      <c r="A82" s="71"/>
      <c r="B82" s="96"/>
      <c r="C82" s="15"/>
      <c r="D82" s="1" t="s">
        <v>14</v>
      </c>
      <c r="E82" s="78"/>
      <c r="F82" s="79"/>
      <c r="G82" s="79"/>
      <c r="H82" s="79"/>
      <c r="I82" s="79"/>
      <c r="J82" s="79"/>
      <c r="K82" s="79"/>
      <c r="L82" s="79"/>
      <c r="M82" s="79"/>
      <c r="N82" s="80"/>
      <c r="O82" s="73"/>
      <c r="P82" s="4"/>
    </row>
    <row r="83" spans="1:16" ht="15" customHeight="1" hidden="1">
      <c r="A83" s="71"/>
      <c r="B83" s="96"/>
      <c r="C83" s="15"/>
      <c r="D83" s="1" t="s">
        <v>15</v>
      </c>
      <c r="E83" s="78"/>
      <c r="F83" s="79"/>
      <c r="G83" s="79"/>
      <c r="H83" s="79"/>
      <c r="I83" s="79"/>
      <c r="J83" s="79"/>
      <c r="K83" s="79"/>
      <c r="L83" s="79"/>
      <c r="M83" s="79"/>
      <c r="N83" s="80"/>
      <c r="O83" s="73"/>
      <c r="P83" s="4"/>
    </row>
    <row r="84" spans="1:16" ht="15" customHeight="1" hidden="1">
      <c r="A84" s="71"/>
      <c r="B84" s="96"/>
      <c r="C84" s="15"/>
      <c r="D84" s="1" t="s">
        <v>16</v>
      </c>
      <c r="E84" s="78"/>
      <c r="F84" s="79"/>
      <c r="G84" s="79"/>
      <c r="H84" s="79"/>
      <c r="I84" s="79"/>
      <c r="J84" s="79"/>
      <c r="K84" s="79"/>
      <c r="L84" s="79"/>
      <c r="M84" s="79"/>
      <c r="N84" s="80"/>
      <c r="O84" s="73"/>
      <c r="P84" s="4"/>
    </row>
    <row r="85" spans="1:16" ht="15" customHeight="1" hidden="1">
      <c r="A85" s="71"/>
      <c r="B85" s="96"/>
      <c r="C85" s="15"/>
      <c r="D85" s="1" t="s">
        <v>17</v>
      </c>
      <c r="E85" s="81"/>
      <c r="F85" s="82"/>
      <c r="G85" s="82"/>
      <c r="H85" s="82"/>
      <c r="I85" s="82"/>
      <c r="J85" s="82"/>
      <c r="K85" s="82"/>
      <c r="L85" s="82"/>
      <c r="M85" s="82"/>
      <c r="N85" s="83"/>
      <c r="O85" s="73"/>
      <c r="P85" s="4"/>
    </row>
    <row r="86" spans="1:16" ht="15" customHeight="1" hidden="1">
      <c r="A86" s="71"/>
      <c r="B86" s="96" t="s">
        <v>37</v>
      </c>
      <c r="C86" s="15"/>
      <c r="D86" s="1" t="s">
        <v>11</v>
      </c>
      <c r="E86" s="2">
        <f>SUM(E87:E92)</f>
        <v>0</v>
      </c>
      <c r="F86" s="2">
        <f aca="true" t="shared" si="53" ref="F86:N86">SUM(F87:F92)</f>
        <v>0</v>
      </c>
      <c r="G86" s="3">
        <f t="shared" si="53"/>
        <v>0</v>
      </c>
      <c r="H86" s="3">
        <f t="shared" si="53"/>
        <v>0</v>
      </c>
      <c r="I86" s="3">
        <f t="shared" si="53"/>
        <v>0</v>
      </c>
      <c r="J86" s="3">
        <f t="shared" si="53"/>
        <v>0</v>
      </c>
      <c r="K86" s="3">
        <f t="shared" si="53"/>
        <v>0</v>
      </c>
      <c r="L86" s="3">
        <f t="shared" si="53"/>
        <v>0</v>
      </c>
      <c r="M86" s="3">
        <f t="shared" si="53"/>
        <v>0</v>
      </c>
      <c r="N86" s="3">
        <f t="shared" si="53"/>
        <v>0</v>
      </c>
      <c r="O86" s="73"/>
      <c r="P86" s="4"/>
    </row>
    <row r="87" spans="1:16" s="26" customFormat="1" ht="15" customHeight="1" hidden="1">
      <c r="A87" s="71"/>
      <c r="B87" s="96"/>
      <c r="C87" s="15"/>
      <c r="D87" s="1" t="s">
        <v>12</v>
      </c>
      <c r="E87" s="2">
        <f aca="true" t="shared" si="54" ref="E87:F92">G87+I87+K87+M87</f>
        <v>0</v>
      </c>
      <c r="F87" s="2">
        <f t="shared" si="54"/>
        <v>0</v>
      </c>
      <c r="G87" s="3"/>
      <c r="H87" s="3"/>
      <c r="I87" s="3"/>
      <c r="J87" s="3"/>
      <c r="K87" s="3"/>
      <c r="L87" s="3"/>
      <c r="M87" s="3"/>
      <c r="N87" s="3"/>
      <c r="O87" s="73"/>
      <c r="P87" s="4"/>
    </row>
    <row r="88" spans="1:16" ht="15" customHeight="1" hidden="1">
      <c r="A88" s="71"/>
      <c r="B88" s="96"/>
      <c r="C88" s="15"/>
      <c r="D88" s="1" t="s">
        <v>13</v>
      </c>
      <c r="E88" s="2">
        <f t="shared" si="54"/>
        <v>0</v>
      </c>
      <c r="F88" s="2">
        <f t="shared" si="54"/>
        <v>0</v>
      </c>
      <c r="G88" s="3"/>
      <c r="H88" s="3"/>
      <c r="I88" s="3"/>
      <c r="J88" s="3"/>
      <c r="K88" s="3"/>
      <c r="L88" s="3"/>
      <c r="M88" s="3"/>
      <c r="N88" s="3"/>
      <c r="O88" s="73"/>
      <c r="P88" s="4"/>
    </row>
    <row r="89" spans="1:16" ht="15" customHeight="1" hidden="1">
      <c r="A89" s="71"/>
      <c r="B89" s="96"/>
      <c r="C89" s="15"/>
      <c r="D89" s="1" t="s">
        <v>14</v>
      </c>
      <c r="E89" s="2">
        <f t="shared" si="54"/>
        <v>0</v>
      </c>
      <c r="F89" s="2">
        <f t="shared" si="54"/>
        <v>0</v>
      </c>
      <c r="G89" s="3"/>
      <c r="H89" s="3"/>
      <c r="I89" s="3"/>
      <c r="J89" s="3"/>
      <c r="K89" s="3"/>
      <c r="L89" s="3"/>
      <c r="M89" s="3"/>
      <c r="N89" s="3"/>
      <c r="O89" s="73"/>
      <c r="P89" s="4"/>
    </row>
    <row r="90" spans="1:16" ht="15" customHeight="1" hidden="1">
      <c r="A90" s="71"/>
      <c r="B90" s="96"/>
      <c r="C90" s="15"/>
      <c r="D90" s="1" t="s">
        <v>15</v>
      </c>
      <c r="E90" s="2">
        <f t="shared" si="54"/>
        <v>0</v>
      </c>
      <c r="F90" s="2">
        <f t="shared" si="54"/>
        <v>0</v>
      </c>
      <c r="G90" s="3"/>
      <c r="H90" s="3"/>
      <c r="I90" s="3"/>
      <c r="J90" s="3"/>
      <c r="K90" s="3"/>
      <c r="L90" s="3"/>
      <c r="M90" s="3"/>
      <c r="N90" s="3"/>
      <c r="O90" s="73"/>
      <c r="P90" s="4"/>
    </row>
    <row r="91" spans="1:16" ht="15" customHeight="1" hidden="1">
      <c r="A91" s="71"/>
      <c r="B91" s="96"/>
      <c r="C91" s="15"/>
      <c r="D91" s="1" t="s">
        <v>16</v>
      </c>
      <c r="E91" s="2">
        <f t="shared" si="54"/>
        <v>0</v>
      </c>
      <c r="F91" s="2">
        <f t="shared" si="54"/>
        <v>0</v>
      </c>
      <c r="G91" s="3"/>
      <c r="H91" s="3"/>
      <c r="I91" s="3"/>
      <c r="J91" s="3"/>
      <c r="K91" s="3"/>
      <c r="L91" s="3"/>
      <c r="M91" s="3"/>
      <c r="N91" s="3"/>
      <c r="O91" s="73"/>
      <c r="P91" s="4"/>
    </row>
    <row r="92" spans="1:16" ht="15" customHeight="1" hidden="1">
      <c r="A92" s="71"/>
      <c r="B92" s="96"/>
      <c r="C92" s="15"/>
      <c r="D92" s="1" t="s">
        <v>17</v>
      </c>
      <c r="E92" s="2">
        <f t="shared" si="54"/>
        <v>0</v>
      </c>
      <c r="F92" s="2">
        <f t="shared" si="54"/>
        <v>0</v>
      </c>
      <c r="G92" s="3"/>
      <c r="H92" s="3"/>
      <c r="I92" s="3"/>
      <c r="J92" s="3"/>
      <c r="K92" s="3"/>
      <c r="L92" s="3"/>
      <c r="M92" s="3"/>
      <c r="N92" s="3"/>
      <c r="O92" s="73"/>
      <c r="P92" s="4"/>
    </row>
    <row r="93" spans="1:16" ht="15" customHeight="1">
      <c r="A93" s="71"/>
      <c r="B93" s="112" t="s">
        <v>39</v>
      </c>
      <c r="C93" s="16"/>
      <c r="D93" s="1" t="s">
        <v>11</v>
      </c>
      <c r="E93" s="2">
        <f>SUM(E94:E104)</f>
        <v>6546</v>
      </c>
      <c r="F93" s="2">
        <f aca="true" t="shared" si="55" ref="F93:N93">SUM(F94:F104)</f>
        <v>1556.2999999999997</v>
      </c>
      <c r="G93" s="2">
        <f t="shared" si="55"/>
        <v>6466</v>
      </c>
      <c r="H93" s="2">
        <f t="shared" si="55"/>
        <v>1476.3</v>
      </c>
      <c r="I93" s="2">
        <f t="shared" si="55"/>
        <v>0</v>
      </c>
      <c r="J93" s="2">
        <f t="shared" si="55"/>
        <v>0</v>
      </c>
      <c r="K93" s="2">
        <f t="shared" si="55"/>
        <v>0</v>
      </c>
      <c r="L93" s="2">
        <f t="shared" si="55"/>
        <v>0</v>
      </c>
      <c r="M93" s="2">
        <f t="shared" si="55"/>
        <v>80</v>
      </c>
      <c r="N93" s="2">
        <f t="shared" si="55"/>
        <v>80</v>
      </c>
      <c r="O93" s="73"/>
      <c r="P93" s="4"/>
    </row>
    <row r="94" spans="1:16" s="26" customFormat="1" ht="15.75">
      <c r="A94" s="71"/>
      <c r="B94" s="113"/>
      <c r="C94" s="15"/>
      <c r="D94" s="1" t="s">
        <v>12</v>
      </c>
      <c r="E94" s="2">
        <f aca="true" t="shared" si="56" ref="E94:F98">G94+I94+K94+M94</f>
        <v>340</v>
      </c>
      <c r="F94" s="2">
        <f t="shared" si="56"/>
        <v>80</v>
      </c>
      <c r="G94" s="3">
        <v>260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80</v>
      </c>
      <c r="N94" s="3">
        <f>M94</f>
        <v>80</v>
      </c>
      <c r="O94" s="73"/>
      <c r="P94" s="4"/>
    </row>
    <row r="95" spans="1:28" ht="15.75">
      <c r="A95" s="71"/>
      <c r="B95" s="113"/>
      <c r="C95" s="121" t="s">
        <v>81</v>
      </c>
      <c r="D95" s="1" t="s">
        <v>13</v>
      </c>
      <c r="E95" s="2">
        <f t="shared" si="56"/>
        <v>1220</v>
      </c>
      <c r="F95" s="2">
        <f t="shared" si="56"/>
        <v>260</v>
      </c>
      <c r="G95" s="3">
        <f>H95+960</f>
        <v>1220</v>
      </c>
      <c r="H95" s="3">
        <v>260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73"/>
      <c r="P95" s="4"/>
      <c r="AB95" s="36"/>
    </row>
    <row r="96" spans="1:16" ht="15" customHeight="1">
      <c r="A96" s="71"/>
      <c r="B96" s="113"/>
      <c r="C96" s="121"/>
      <c r="D96" s="1" t="s">
        <v>14</v>
      </c>
      <c r="E96" s="2">
        <f t="shared" si="56"/>
        <v>554</v>
      </c>
      <c r="F96" s="2">
        <f t="shared" si="56"/>
        <v>260</v>
      </c>
      <c r="G96" s="3">
        <f>H96+294</f>
        <v>554</v>
      </c>
      <c r="H96" s="3">
        <v>260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73"/>
      <c r="P96" s="4"/>
    </row>
    <row r="97" spans="1:16" ht="15.75">
      <c r="A97" s="71"/>
      <c r="B97" s="113"/>
      <c r="C97" s="121"/>
      <c r="D97" s="1" t="s">
        <v>15</v>
      </c>
      <c r="E97" s="2">
        <f t="shared" si="56"/>
        <v>554</v>
      </c>
      <c r="F97" s="2">
        <f t="shared" si="56"/>
        <v>0</v>
      </c>
      <c r="G97" s="3">
        <f aca="true" t="shared" si="57" ref="G97:G104">G96</f>
        <v>554</v>
      </c>
      <c r="H97" s="3">
        <f>260-260</f>
        <v>0</v>
      </c>
      <c r="I97" s="3">
        <v>0</v>
      </c>
      <c r="J97" s="3">
        <v>0</v>
      </c>
      <c r="K97" s="3">
        <v>0</v>
      </c>
      <c r="L97" s="3">
        <v>0</v>
      </c>
      <c r="M97" s="3">
        <f>1.1*M96</f>
        <v>0</v>
      </c>
      <c r="N97" s="3">
        <v>0</v>
      </c>
      <c r="O97" s="73"/>
      <c r="P97" s="4"/>
    </row>
    <row r="98" spans="1:16" ht="15.75">
      <c r="A98" s="71"/>
      <c r="B98" s="113"/>
      <c r="C98" s="121"/>
      <c r="D98" s="1" t="s">
        <v>16</v>
      </c>
      <c r="E98" s="2">
        <f t="shared" si="56"/>
        <v>554</v>
      </c>
      <c r="F98" s="2">
        <f t="shared" si="56"/>
        <v>260</v>
      </c>
      <c r="G98" s="3">
        <f t="shared" si="57"/>
        <v>554</v>
      </c>
      <c r="H98" s="3">
        <v>260</v>
      </c>
      <c r="I98" s="3">
        <v>0</v>
      </c>
      <c r="J98" s="3">
        <v>0</v>
      </c>
      <c r="K98" s="3">
        <v>0</v>
      </c>
      <c r="L98" s="3">
        <v>0</v>
      </c>
      <c r="M98" s="3">
        <f>1.1*M97</f>
        <v>0</v>
      </c>
      <c r="N98" s="3">
        <v>0</v>
      </c>
      <c r="O98" s="73"/>
      <c r="P98" s="4"/>
    </row>
    <row r="99" spans="1:16" ht="15.75">
      <c r="A99" s="71"/>
      <c r="B99" s="113"/>
      <c r="C99" s="121"/>
      <c r="D99" s="1" t="s">
        <v>17</v>
      </c>
      <c r="E99" s="2">
        <f aca="true" t="shared" si="58" ref="E99:F104">G99+I99+K99+M99</f>
        <v>554</v>
      </c>
      <c r="F99" s="2">
        <f t="shared" si="58"/>
        <v>232.1</v>
      </c>
      <c r="G99" s="3">
        <f t="shared" si="57"/>
        <v>554</v>
      </c>
      <c r="H99" s="3">
        <v>232.1</v>
      </c>
      <c r="I99" s="3">
        <v>0</v>
      </c>
      <c r="J99" s="3">
        <v>0</v>
      </c>
      <c r="K99" s="3">
        <v>0</v>
      </c>
      <c r="L99" s="3">
        <v>0</v>
      </c>
      <c r="M99" s="3">
        <f>1.1*M98</f>
        <v>0</v>
      </c>
      <c r="N99" s="3">
        <v>0</v>
      </c>
      <c r="O99" s="73"/>
      <c r="P99" s="4"/>
    </row>
    <row r="100" spans="1:16" ht="15.75">
      <c r="A100" s="71"/>
      <c r="B100" s="113"/>
      <c r="C100" s="121"/>
      <c r="D100" s="1" t="s">
        <v>97</v>
      </c>
      <c r="E100" s="2">
        <f t="shared" si="58"/>
        <v>554</v>
      </c>
      <c r="F100" s="2">
        <f t="shared" si="58"/>
        <v>232.1</v>
      </c>
      <c r="G100" s="3">
        <f t="shared" si="57"/>
        <v>554</v>
      </c>
      <c r="H100" s="3">
        <v>232.1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73"/>
      <c r="P100" s="4"/>
    </row>
    <row r="101" spans="1:16" ht="15.75">
      <c r="A101" s="71"/>
      <c r="B101" s="113"/>
      <c r="C101" s="121"/>
      <c r="D101" s="1" t="s">
        <v>98</v>
      </c>
      <c r="E101" s="2">
        <f t="shared" si="58"/>
        <v>554</v>
      </c>
      <c r="F101" s="2">
        <f t="shared" si="58"/>
        <v>232.1</v>
      </c>
      <c r="G101" s="3">
        <f t="shared" si="57"/>
        <v>554</v>
      </c>
      <c r="H101" s="3">
        <v>232.1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73"/>
      <c r="P101" s="4"/>
    </row>
    <row r="102" spans="1:16" ht="15.75">
      <c r="A102" s="71"/>
      <c r="B102" s="113"/>
      <c r="C102" s="121"/>
      <c r="D102" s="1" t="s">
        <v>99</v>
      </c>
      <c r="E102" s="2">
        <f t="shared" si="58"/>
        <v>554</v>
      </c>
      <c r="F102" s="2">
        <f t="shared" si="58"/>
        <v>0</v>
      </c>
      <c r="G102" s="3">
        <f t="shared" si="57"/>
        <v>554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73"/>
      <c r="P102" s="4"/>
    </row>
    <row r="103" spans="1:16" ht="15.75">
      <c r="A103" s="71"/>
      <c r="B103" s="113"/>
      <c r="C103" s="121"/>
      <c r="D103" s="1" t="s">
        <v>100</v>
      </c>
      <c r="E103" s="2">
        <f t="shared" si="58"/>
        <v>554</v>
      </c>
      <c r="F103" s="2">
        <f t="shared" si="58"/>
        <v>0</v>
      </c>
      <c r="G103" s="3">
        <f t="shared" si="57"/>
        <v>554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73"/>
      <c r="P103" s="4"/>
    </row>
    <row r="104" spans="1:16" ht="15.75">
      <c r="A104" s="71"/>
      <c r="B104" s="114"/>
      <c r="C104" s="121"/>
      <c r="D104" s="1" t="s">
        <v>101</v>
      </c>
      <c r="E104" s="2">
        <f t="shared" si="58"/>
        <v>554</v>
      </c>
      <c r="F104" s="2">
        <f t="shared" si="58"/>
        <v>0</v>
      </c>
      <c r="G104" s="3">
        <f t="shared" si="57"/>
        <v>554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73"/>
      <c r="P104" s="4"/>
    </row>
    <row r="105" spans="1:16" ht="15.75" customHeight="1">
      <c r="A105" s="71"/>
      <c r="B105" s="112" t="s">
        <v>41</v>
      </c>
      <c r="D105" s="1" t="s">
        <v>11</v>
      </c>
      <c r="E105" s="2">
        <f>SUM(E106:E116)</f>
        <v>1913.6000000000004</v>
      </c>
      <c r="F105" s="2">
        <f aca="true" t="shared" si="59" ref="F105:N105">SUM(F106:F116)</f>
        <v>1297.5000000000002</v>
      </c>
      <c r="G105" s="2">
        <f t="shared" si="59"/>
        <v>1913.6000000000004</v>
      </c>
      <c r="H105" s="2">
        <f t="shared" si="59"/>
        <v>1297.5000000000002</v>
      </c>
      <c r="I105" s="2">
        <f t="shared" si="59"/>
        <v>0</v>
      </c>
      <c r="J105" s="2">
        <f t="shared" si="59"/>
        <v>0</v>
      </c>
      <c r="K105" s="2">
        <f t="shared" si="59"/>
        <v>0</v>
      </c>
      <c r="L105" s="2">
        <f t="shared" si="59"/>
        <v>0</v>
      </c>
      <c r="M105" s="2">
        <f t="shared" si="59"/>
        <v>0</v>
      </c>
      <c r="N105" s="2">
        <f t="shared" si="59"/>
        <v>0</v>
      </c>
      <c r="O105" s="73"/>
      <c r="P105" s="4"/>
    </row>
    <row r="106" spans="1:16" ht="30.75" customHeight="1">
      <c r="A106" s="71"/>
      <c r="B106" s="113"/>
      <c r="C106" s="17" t="s">
        <v>69</v>
      </c>
      <c r="D106" s="1" t="s">
        <v>12</v>
      </c>
      <c r="E106" s="2">
        <f aca="true" t="shared" si="60" ref="E106:F110">G106+I106+K106+M106</f>
        <v>155</v>
      </c>
      <c r="F106" s="2">
        <f t="shared" si="60"/>
        <v>155</v>
      </c>
      <c r="G106" s="3">
        <v>155</v>
      </c>
      <c r="H106" s="3">
        <v>155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73"/>
      <c r="P106" s="4"/>
    </row>
    <row r="107" spans="1:16" ht="24.75" customHeight="1">
      <c r="A107" s="71"/>
      <c r="B107" s="113"/>
      <c r="C107" s="88" t="s">
        <v>53</v>
      </c>
      <c r="D107" s="1" t="s">
        <v>13</v>
      </c>
      <c r="E107" s="2">
        <f t="shared" si="60"/>
        <v>155</v>
      </c>
      <c r="F107" s="2">
        <f t="shared" si="60"/>
        <v>155</v>
      </c>
      <c r="G107" s="3">
        <v>155</v>
      </c>
      <c r="H107" s="3">
        <v>155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73"/>
      <c r="P107" s="4"/>
    </row>
    <row r="108" spans="1:16" ht="26.25" customHeight="1">
      <c r="A108" s="71"/>
      <c r="B108" s="113"/>
      <c r="C108" s="89"/>
      <c r="D108" s="1" t="s">
        <v>14</v>
      </c>
      <c r="E108" s="2">
        <f t="shared" si="60"/>
        <v>155</v>
      </c>
      <c r="F108" s="2">
        <f t="shared" si="60"/>
        <v>155</v>
      </c>
      <c r="G108" s="3">
        <v>155</v>
      </c>
      <c r="H108" s="3">
        <v>155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73"/>
      <c r="P108" s="4"/>
    </row>
    <row r="109" spans="1:16" ht="15.75">
      <c r="A109" s="71"/>
      <c r="B109" s="113"/>
      <c r="C109" s="89"/>
      <c r="D109" s="1" t="s">
        <v>15</v>
      </c>
      <c r="E109" s="2">
        <f t="shared" si="60"/>
        <v>161.2</v>
      </c>
      <c r="F109" s="2">
        <f t="shared" si="60"/>
        <v>161.2</v>
      </c>
      <c r="G109" s="3">
        <f>H109</f>
        <v>161.2</v>
      </c>
      <c r="H109" s="3">
        <v>161.2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73"/>
      <c r="P109" s="4"/>
    </row>
    <row r="110" spans="1:16" ht="15.75">
      <c r="A110" s="71"/>
      <c r="B110" s="113"/>
      <c r="C110" s="89"/>
      <c r="D110" s="1" t="s">
        <v>16</v>
      </c>
      <c r="E110" s="2">
        <f t="shared" si="60"/>
        <v>161.2</v>
      </c>
      <c r="F110" s="2">
        <f t="shared" si="60"/>
        <v>161.2</v>
      </c>
      <c r="G110" s="62">
        <f>G109</f>
        <v>161.2</v>
      </c>
      <c r="H110" s="3">
        <v>161.2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73"/>
      <c r="P110" s="4"/>
    </row>
    <row r="111" spans="1:16" ht="15.75">
      <c r="A111" s="71"/>
      <c r="B111" s="113"/>
      <c r="C111" s="89"/>
      <c r="D111" s="1" t="s">
        <v>17</v>
      </c>
      <c r="E111" s="2">
        <f aca="true" t="shared" si="61" ref="E111:F116">G111+I111+K111+M111</f>
        <v>187.7</v>
      </c>
      <c r="F111" s="2">
        <f t="shared" si="61"/>
        <v>187.7</v>
      </c>
      <c r="G111" s="3">
        <f>187.7</f>
        <v>187.7</v>
      </c>
      <c r="H111" s="3">
        <v>187.7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73"/>
      <c r="P111" s="4"/>
    </row>
    <row r="112" spans="1:16" ht="15.75">
      <c r="A112" s="71"/>
      <c r="B112" s="113"/>
      <c r="C112" s="89"/>
      <c r="D112" s="1" t="s">
        <v>97</v>
      </c>
      <c r="E112" s="2">
        <f t="shared" si="61"/>
        <v>187.7</v>
      </c>
      <c r="F112" s="2">
        <f t="shared" si="61"/>
        <v>161.2</v>
      </c>
      <c r="G112" s="3">
        <f>G111</f>
        <v>187.7</v>
      </c>
      <c r="H112" s="3">
        <v>161.2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73"/>
      <c r="P112" s="4"/>
    </row>
    <row r="113" spans="1:16" ht="15.75">
      <c r="A113" s="71"/>
      <c r="B113" s="113"/>
      <c r="C113" s="89"/>
      <c r="D113" s="1" t="s">
        <v>98</v>
      </c>
      <c r="E113" s="2">
        <f t="shared" si="61"/>
        <v>187.7</v>
      </c>
      <c r="F113" s="2">
        <f t="shared" si="61"/>
        <v>161.2</v>
      </c>
      <c r="G113" s="3">
        <f>G112</f>
        <v>187.7</v>
      </c>
      <c r="H113" s="3">
        <v>161.2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73"/>
      <c r="P113" s="4"/>
    </row>
    <row r="114" spans="1:16" ht="15.75">
      <c r="A114" s="71"/>
      <c r="B114" s="113"/>
      <c r="C114" s="89"/>
      <c r="D114" s="1" t="s">
        <v>99</v>
      </c>
      <c r="E114" s="2">
        <f t="shared" si="61"/>
        <v>187.7</v>
      </c>
      <c r="F114" s="2">
        <f t="shared" si="61"/>
        <v>0</v>
      </c>
      <c r="G114" s="3">
        <f>G113</f>
        <v>187.7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73"/>
      <c r="P114" s="4"/>
    </row>
    <row r="115" spans="1:16" ht="15.75">
      <c r="A115" s="71"/>
      <c r="B115" s="113"/>
      <c r="C115" s="89"/>
      <c r="D115" s="1" t="s">
        <v>100</v>
      </c>
      <c r="E115" s="2">
        <f t="shared" si="61"/>
        <v>187.7</v>
      </c>
      <c r="F115" s="2">
        <f t="shared" si="61"/>
        <v>0</v>
      </c>
      <c r="G115" s="3">
        <f>G114</f>
        <v>187.7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73"/>
      <c r="P115" s="4"/>
    </row>
    <row r="116" spans="1:16" ht="15.75">
      <c r="A116" s="71"/>
      <c r="B116" s="114"/>
      <c r="C116" s="90"/>
      <c r="D116" s="1" t="s">
        <v>101</v>
      </c>
      <c r="E116" s="2">
        <f t="shared" si="61"/>
        <v>187.7</v>
      </c>
      <c r="F116" s="2">
        <f t="shared" si="61"/>
        <v>0</v>
      </c>
      <c r="G116" s="3">
        <f>G115</f>
        <v>187.7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74"/>
      <c r="P116" s="4"/>
    </row>
    <row r="117" spans="1:16" ht="15.75">
      <c r="A117" s="104" t="s">
        <v>49</v>
      </c>
      <c r="B117" s="14" t="s">
        <v>44</v>
      </c>
      <c r="C117" s="10"/>
      <c r="D117" s="10" t="s">
        <v>11</v>
      </c>
      <c r="E117" s="2">
        <f>SUM(E118:E128)</f>
        <v>301732.72</v>
      </c>
      <c r="F117" s="2">
        <f aca="true" t="shared" si="62" ref="F117:N117">SUM(F118:F128)</f>
        <v>160950.52</v>
      </c>
      <c r="G117" s="2">
        <f>SUM(G118:G128)</f>
        <v>168226.6</v>
      </c>
      <c r="H117" s="2">
        <f t="shared" si="62"/>
        <v>78899.6</v>
      </c>
      <c r="I117" s="2">
        <f t="shared" si="62"/>
        <v>0</v>
      </c>
      <c r="J117" s="2">
        <f t="shared" si="62"/>
        <v>0</v>
      </c>
      <c r="K117" s="2">
        <f t="shared" si="62"/>
        <v>44213.920000000006</v>
      </c>
      <c r="L117" s="2">
        <f>SUM(L118:L128)</f>
        <v>15228.72</v>
      </c>
      <c r="M117" s="2">
        <f t="shared" si="62"/>
        <v>89292.2</v>
      </c>
      <c r="N117" s="2">
        <f t="shared" si="62"/>
        <v>66822.2</v>
      </c>
      <c r="O117" s="72" t="s">
        <v>86</v>
      </c>
      <c r="P117" s="4"/>
    </row>
    <row r="118" spans="1:16" s="12" customFormat="1" ht="36.75" customHeight="1">
      <c r="A118" s="104"/>
      <c r="B118" s="92" t="s">
        <v>104</v>
      </c>
      <c r="C118" s="10" t="s">
        <v>66</v>
      </c>
      <c r="D118" s="10" t="s">
        <v>12</v>
      </c>
      <c r="E118" s="2">
        <f>G118+I118+K118+M118</f>
        <v>18924</v>
      </c>
      <c r="F118" s="2">
        <f aca="true" t="shared" si="63" ref="E118:F122">H118+J118+L118+N118</f>
        <v>17923.5</v>
      </c>
      <c r="G118" s="2">
        <f>G130+G142+G149</f>
        <v>8382.8</v>
      </c>
      <c r="H118" s="2">
        <f>H130+H142+H149</f>
        <v>7582.3</v>
      </c>
      <c r="I118" s="2">
        <f>I130+I142</f>
        <v>0</v>
      </c>
      <c r="J118" s="2">
        <f>J130+J142</f>
        <v>0</v>
      </c>
      <c r="K118" s="2">
        <f aca="true" t="shared" si="64" ref="K118:N123">K130+K142</f>
        <v>1841.2</v>
      </c>
      <c r="L118" s="2">
        <f t="shared" si="64"/>
        <v>1641.2</v>
      </c>
      <c r="M118" s="2">
        <f t="shared" si="64"/>
        <v>8700</v>
      </c>
      <c r="N118" s="2">
        <f t="shared" si="64"/>
        <v>8700</v>
      </c>
      <c r="O118" s="73"/>
      <c r="P118" s="4"/>
    </row>
    <row r="119" spans="1:16" s="12" customFormat="1" ht="15.75" customHeight="1">
      <c r="A119" s="104"/>
      <c r="B119" s="93"/>
      <c r="C119" s="84" t="s">
        <v>70</v>
      </c>
      <c r="D119" s="10" t="s">
        <v>13</v>
      </c>
      <c r="E119" s="2">
        <f>G119+I119+K119+M119</f>
        <v>19837</v>
      </c>
      <c r="F119" s="2">
        <f t="shared" si="63"/>
        <v>18611.699999999997</v>
      </c>
      <c r="G119" s="2">
        <f>G131+G143+G150</f>
        <v>9108.8</v>
      </c>
      <c r="H119" s="2">
        <f>H131+H150</f>
        <v>8083.5</v>
      </c>
      <c r="I119" s="2">
        <f aca="true" t="shared" si="65" ref="I119:J123">I131+I143</f>
        <v>0</v>
      </c>
      <c r="J119" s="2">
        <f t="shared" si="65"/>
        <v>0</v>
      </c>
      <c r="K119" s="2">
        <f t="shared" si="64"/>
        <v>1652.8999999999999</v>
      </c>
      <c r="L119" s="2">
        <f t="shared" si="64"/>
        <v>1452.8999999999999</v>
      </c>
      <c r="M119" s="2">
        <f t="shared" si="64"/>
        <v>9075.3</v>
      </c>
      <c r="N119" s="2">
        <f t="shared" si="64"/>
        <v>9075.3</v>
      </c>
      <c r="O119" s="73"/>
      <c r="P119" s="4"/>
    </row>
    <row r="120" spans="1:16" s="12" customFormat="1" ht="27" customHeight="1">
      <c r="A120" s="104"/>
      <c r="B120" s="93"/>
      <c r="C120" s="85"/>
      <c r="D120" s="10" t="s">
        <v>14</v>
      </c>
      <c r="E120" s="2">
        <f>G120+I120+K120+M120</f>
        <v>22904.72</v>
      </c>
      <c r="F120" s="2">
        <f t="shared" si="63"/>
        <v>22362.42</v>
      </c>
      <c r="G120" s="2">
        <f>G132+G144+G151</f>
        <v>10458.4</v>
      </c>
      <c r="H120" s="2">
        <f>H132+H144+H151</f>
        <v>9916.1</v>
      </c>
      <c r="I120" s="2">
        <f t="shared" si="65"/>
        <v>0</v>
      </c>
      <c r="J120" s="2">
        <f t="shared" si="65"/>
        <v>0</v>
      </c>
      <c r="K120" s="2">
        <f t="shared" si="64"/>
        <v>2868.42</v>
      </c>
      <c r="L120" s="2">
        <f t="shared" si="64"/>
        <v>2868.42</v>
      </c>
      <c r="M120" s="2">
        <f t="shared" si="64"/>
        <v>9577.9</v>
      </c>
      <c r="N120" s="2">
        <f t="shared" si="64"/>
        <v>9577.9</v>
      </c>
      <c r="O120" s="73"/>
      <c r="P120" s="4"/>
    </row>
    <row r="121" spans="1:16" s="12" customFormat="1" ht="15.75">
      <c r="A121" s="104"/>
      <c r="B121" s="93"/>
      <c r="C121" s="85"/>
      <c r="D121" s="10" t="s">
        <v>15</v>
      </c>
      <c r="E121" s="2">
        <f>G121+I121+K121+M121</f>
        <v>24572.800000000003</v>
      </c>
      <c r="F121" s="2">
        <f t="shared" si="63"/>
        <v>23056</v>
      </c>
      <c r="G121" s="2">
        <f>G133+G145+G152</f>
        <v>10458.4</v>
      </c>
      <c r="H121" s="2">
        <f>H133+H145+H152</f>
        <v>8941.6</v>
      </c>
      <c r="I121" s="2">
        <f t="shared" si="65"/>
        <v>0</v>
      </c>
      <c r="J121" s="2">
        <f t="shared" si="65"/>
        <v>0</v>
      </c>
      <c r="K121" s="2">
        <f t="shared" si="64"/>
        <v>4700.8</v>
      </c>
      <c r="L121" s="2">
        <f t="shared" si="64"/>
        <v>4700.8</v>
      </c>
      <c r="M121" s="2">
        <f t="shared" si="64"/>
        <v>9413.6</v>
      </c>
      <c r="N121" s="2">
        <f t="shared" si="64"/>
        <v>9413.6</v>
      </c>
      <c r="O121" s="73"/>
      <c r="P121" s="4"/>
    </row>
    <row r="122" spans="1:25" s="12" customFormat="1" ht="15.75">
      <c r="A122" s="104"/>
      <c r="B122" s="93"/>
      <c r="C122" s="85"/>
      <c r="D122" s="10" t="s">
        <v>16</v>
      </c>
      <c r="E122" s="2">
        <f t="shared" si="63"/>
        <v>22769.6</v>
      </c>
      <c r="F122" s="2">
        <f t="shared" si="63"/>
        <v>21237.3</v>
      </c>
      <c r="G122" s="2">
        <f>G134+G146+G153</f>
        <v>10458.4</v>
      </c>
      <c r="H122" s="2">
        <f>H134+H146+H153</f>
        <v>9206.5</v>
      </c>
      <c r="I122" s="2">
        <f t="shared" si="65"/>
        <v>0</v>
      </c>
      <c r="J122" s="2">
        <f t="shared" si="65"/>
        <v>0</v>
      </c>
      <c r="K122" s="2">
        <f t="shared" si="64"/>
        <v>4735.8</v>
      </c>
      <c r="L122" s="2">
        <f t="shared" si="64"/>
        <v>4455.4</v>
      </c>
      <c r="M122" s="2">
        <f t="shared" si="64"/>
        <v>7575.4</v>
      </c>
      <c r="N122" s="2">
        <f t="shared" si="64"/>
        <v>7575.4</v>
      </c>
      <c r="O122" s="73"/>
      <c r="P122" s="4"/>
      <c r="Q122" s="60">
        <f>F122/E122*100</f>
        <v>93.27041318248894</v>
      </c>
      <c r="X122" s="47">
        <f>100-F122/E122*100</f>
        <v>6.729586817511063</v>
      </c>
      <c r="Y122" s="47">
        <f>90-X122</f>
        <v>83.27041318248894</v>
      </c>
    </row>
    <row r="123" spans="1:25" s="60" customFormat="1" ht="15.75">
      <c r="A123" s="104"/>
      <c r="B123" s="93"/>
      <c r="C123" s="85"/>
      <c r="D123" s="57" t="s">
        <v>17</v>
      </c>
      <c r="E123" s="58">
        <f aca="true" t="shared" si="66" ref="E123:F128">G123+I123+K123+M123</f>
        <v>32129.1</v>
      </c>
      <c r="F123" s="58">
        <f t="shared" si="66"/>
        <v>19903</v>
      </c>
      <c r="G123" s="58">
        <f>G135+G147+G154</f>
        <v>19893.3</v>
      </c>
      <c r="H123" s="58">
        <f>H135+H147+H154</f>
        <v>12348</v>
      </c>
      <c r="I123" s="58">
        <f t="shared" si="65"/>
        <v>0</v>
      </c>
      <c r="J123" s="58">
        <f t="shared" si="65"/>
        <v>0</v>
      </c>
      <c r="K123" s="58">
        <f t="shared" si="64"/>
        <v>4735.8</v>
      </c>
      <c r="L123" s="58">
        <f t="shared" si="64"/>
        <v>55</v>
      </c>
      <c r="M123" s="58">
        <f t="shared" si="64"/>
        <v>7500</v>
      </c>
      <c r="N123" s="58">
        <f t="shared" si="64"/>
        <v>7500</v>
      </c>
      <c r="O123" s="73"/>
      <c r="P123" s="59"/>
      <c r="Q123" s="60">
        <f>F123/E123*100</f>
        <v>61.94695774235818</v>
      </c>
      <c r="W123" s="63">
        <f>G123-H123</f>
        <v>7545.299999999999</v>
      </c>
      <c r="X123" s="64">
        <f aca="true" t="shared" si="67" ref="X123:X128">100-F123/E123*100</f>
        <v>38.05304225764182</v>
      </c>
      <c r="Y123" s="64">
        <f aca="true" t="shared" si="68" ref="Y123:Y128">90-X123</f>
        <v>51.94695774235818</v>
      </c>
    </row>
    <row r="124" spans="1:25" s="60" customFormat="1" ht="15.75">
      <c r="A124" s="104"/>
      <c r="B124" s="93"/>
      <c r="C124" s="85"/>
      <c r="D124" s="57" t="s">
        <v>97</v>
      </c>
      <c r="E124" s="58">
        <f t="shared" si="66"/>
        <v>32119.1</v>
      </c>
      <c r="F124" s="58">
        <f t="shared" si="66"/>
        <v>18955.8</v>
      </c>
      <c r="G124" s="58">
        <f>G136+G155</f>
        <v>19893.3</v>
      </c>
      <c r="H124" s="58">
        <f aca="true" t="shared" si="69" ref="H124:N124">H136+H155</f>
        <v>11410.8</v>
      </c>
      <c r="I124" s="58">
        <f t="shared" si="69"/>
        <v>0</v>
      </c>
      <c r="J124" s="58">
        <f t="shared" si="69"/>
        <v>0</v>
      </c>
      <c r="K124" s="58">
        <f t="shared" si="69"/>
        <v>4735.8</v>
      </c>
      <c r="L124" s="58">
        <f t="shared" si="69"/>
        <v>55</v>
      </c>
      <c r="M124" s="58">
        <f t="shared" si="69"/>
        <v>7490</v>
      </c>
      <c r="N124" s="58">
        <f t="shared" si="69"/>
        <v>7490</v>
      </c>
      <c r="O124" s="73"/>
      <c r="P124" s="59"/>
      <c r="Q124" s="60">
        <f>F124/E124*100</f>
        <v>59.017220283258254</v>
      </c>
      <c r="X124" s="64">
        <f t="shared" si="67"/>
        <v>40.982779716741746</v>
      </c>
      <c r="Y124" s="64">
        <f t="shared" si="68"/>
        <v>49.017220283258254</v>
      </c>
    </row>
    <row r="125" spans="1:25" s="60" customFormat="1" ht="15.75">
      <c r="A125" s="104"/>
      <c r="B125" s="93"/>
      <c r="C125" s="85"/>
      <c r="D125" s="57" t="s">
        <v>98</v>
      </c>
      <c r="E125" s="58">
        <f t="shared" si="66"/>
        <v>32119.1</v>
      </c>
      <c r="F125" s="58">
        <f t="shared" si="66"/>
        <v>18900.8</v>
      </c>
      <c r="G125" s="58">
        <f aca="true" t="shared" si="70" ref="G125:N125">G137+G156</f>
        <v>19893.3</v>
      </c>
      <c r="H125" s="58">
        <f t="shared" si="70"/>
        <v>11410.8</v>
      </c>
      <c r="I125" s="58">
        <f t="shared" si="70"/>
        <v>0</v>
      </c>
      <c r="J125" s="58">
        <f t="shared" si="70"/>
        <v>0</v>
      </c>
      <c r="K125" s="58">
        <f t="shared" si="70"/>
        <v>4735.8</v>
      </c>
      <c r="L125" s="58">
        <f t="shared" si="70"/>
        <v>0</v>
      </c>
      <c r="M125" s="58">
        <f t="shared" si="70"/>
        <v>7490</v>
      </c>
      <c r="N125" s="58">
        <f t="shared" si="70"/>
        <v>7490</v>
      </c>
      <c r="O125" s="73"/>
      <c r="P125" s="59"/>
      <c r="Q125" s="60">
        <f>F125/E125*100</f>
        <v>58.84598260847906</v>
      </c>
      <c r="X125" s="64">
        <f t="shared" si="67"/>
        <v>41.15401739152094</v>
      </c>
      <c r="Y125" s="64">
        <f t="shared" si="68"/>
        <v>48.84598260847906</v>
      </c>
    </row>
    <row r="126" spans="1:25" s="12" customFormat="1" ht="15.75">
      <c r="A126" s="104"/>
      <c r="B126" s="93"/>
      <c r="C126" s="85"/>
      <c r="D126" s="10" t="s">
        <v>99</v>
      </c>
      <c r="E126" s="2">
        <f t="shared" si="66"/>
        <v>32119.1</v>
      </c>
      <c r="F126" s="2">
        <f t="shared" si="66"/>
        <v>0</v>
      </c>
      <c r="G126" s="2">
        <f aca="true" t="shared" si="71" ref="G126:N126">G138+G157</f>
        <v>19893.3</v>
      </c>
      <c r="H126" s="2">
        <f t="shared" si="71"/>
        <v>0</v>
      </c>
      <c r="I126" s="2">
        <f t="shared" si="71"/>
        <v>0</v>
      </c>
      <c r="J126" s="2">
        <f t="shared" si="71"/>
        <v>0</v>
      </c>
      <c r="K126" s="2">
        <f t="shared" si="71"/>
        <v>4735.8</v>
      </c>
      <c r="L126" s="2">
        <f t="shared" si="71"/>
        <v>0</v>
      </c>
      <c r="M126" s="2">
        <f t="shared" si="71"/>
        <v>7490</v>
      </c>
      <c r="N126" s="2">
        <f t="shared" si="71"/>
        <v>0</v>
      </c>
      <c r="O126" s="73"/>
      <c r="P126" s="4"/>
      <c r="X126" s="47">
        <f t="shared" si="67"/>
        <v>100</v>
      </c>
      <c r="Y126" s="47">
        <f t="shared" si="68"/>
        <v>-10</v>
      </c>
    </row>
    <row r="127" spans="1:25" s="12" customFormat="1" ht="15.75">
      <c r="A127" s="104"/>
      <c r="B127" s="93"/>
      <c r="C127" s="85"/>
      <c r="D127" s="10" t="s">
        <v>100</v>
      </c>
      <c r="E127" s="2">
        <f t="shared" si="66"/>
        <v>32119.1</v>
      </c>
      <c r="F127" s="2">
        <f t="shared" si="66"/>
        <v>0</v>
      </c>
      <c r="G127" s="2">
        <f aca="true" t="shared" si="72" ref="G127:N127">G139+G158</f>
        <v>19893.3</v>
      </c>
      <c r="H127" s="2">
        <f t="shared" si="72"/>
        <v>0</v>
      </c>
      <c r="I127" s="2">
        <f t="shared" si="72"/>
        <v>0</v>
      </c>
      <c r="J127" s="2">
        <f t="shared" si="72"/>
        <v>0</v>
      </c>
      <c r="K127" s="2">
        <f t="shared" si="72"/>
        <v>4735.8</v>
      </c>
      <c r="L127" s="2">
        <f t="shared" si="72"/>
        <v>0</v>
      </c>
      <c r="M127" s="2">
        <f t="shared" si="72"/>
        <v>7490</v>
      </c>
      <c r="N127" s="2">
        <f t="shared" si="72"/>
        <v>0</v>
      </c>
      <c r="O127" s="73"/>
      <c r="P127" s="4"/>
      <c r="X127" s="47">
        <f t="shared" si="67"/>
        <v>100</v>
      </c>
      <c r="Y127" s="47">
        <f t="shared" si="68"/>
        <v>-10</v>
      </c>
    </row>
    <row r="128" spans="1:25" s="12" customFormat="1" ht="15.75">
      <c r="A128" s="104"/>
      <c r="B128" s="94"/>
      <c r="C128" s="86"/>
      <c r="D128" s="10" t="s">
        <v>101</v>
      </c>
      <c r="E128" s="2">
        <f t="shared" si="66"/>
        <v>32119.1</v>
      </c>
      <c r="F128" s="2">
        <f t="shared" si="66"/>
        <v>0</v>
      </c>
      <c r="G128" s="2">
        <f aca="true" t="shared" si="73" ref="G128:N128">G140+G159</f>
        <v>19893.3</v>
      </c>
      <c r="H128" s="2">
        <f t="shared" si="73"/>
        <v>0</v>
      </c>
      <c r="I128" s="2">
        <f t="shared" si="73"/>
        <v>0</v>
      </c>
      <c r="J128" s="2">
        <f t="shared" si="73"/>
        <v>0</v>
      </c>
      <c r="K128" s="2">
        <f t="shared" si="73"/>
        <v>4735.8</v>
      </c>
      <c r="L128" s="2">
        <f t="shared" si="73"/>
        <v>0</v>
      </c>
      <c r="M128" s="2">
        <f t="shared" si="73"/>
        <v>7490</v>
      </c>
      <c r="N128" s="2">
        <f t="shared" si="73"/>
        <v>0</v>
      </c>
      <c r="O128" s="73"/>
      <c r="P128" s="4"/>
      <c r="X128" s="47">
        <f t="shared" si="67"/>
        <v>100</v>
      </c>
      <c r="Y128" s="47">
        <f t="shared" si="68"/>
        <v>-10</v>
      </c>
    </row>
    <row r="129" spans="1:16" s="12" customFormat="1" ht="15.75">
      <c r="A129" s="104"/>
      <c r="B129" s="96" t="s">
        <v>24</v>
      </c>
      <c r="C129" s="18"/>
      <c r="D129" s="1" t="s">
        <v>11</v>
      </c>
      <c r="E129" s="2">
        <f>SUM(E130:E140)</f>
        <v>296112.72</v>
      </c>
      <c r="F129" s="2">
        <f aca="true" t="shared" si="74" ref="F129:N129">SUM(F130:F140)</f>
        <v>160050.52</v>
      </c>
      <c r="G129" s="2">
        <f t="shared" si="74"/>
        <v>162606.6</v>
      </c>
      <c r="H129" s="2">
        <f t="shared" si="74"/>
        <v>77999.6</v>
      </c>
      <c r="I129" s="2">
        <f t="shared" si="74"/>
        <v>0</v>
      </c>
      <c r="J129" s="2">
        <f t="shared" si="74"/>
        <v>0</v>
      </c>
      <c r="K129" s="2">
        <f t="shared" si="74"/>
        <v>44213.920000000006</v>
      </c>
      <c r="L129" s="2">
        <f>SUM(L130:L140)</f>
        <v>15228.72</v>
      </c>
      <c r="M129" s="2">
        <f t="shared" si="74"/>
        <v>89292.2</v>
      </c>
      <c r="N129" s="2">
        <f t="shared" si="74"/>
        <v>66822.2</v>
      </c>
      <c r="O129" s="73"/>
      <c r="P129" s="4"/>
    </row>
    <row r="130" spans="1:16" s="26" customFormat="1" ht="57.75" customHeight="1">
      <c r="A130" s="104"/>
      <c r="B130" s="96"/>
      <c r="C130" s="1" t="s">
        <v>72</v>
      </c>
      <c r="D130" s="1" t="s">
        <v>12</v>
      </c>
      <c r="E130" s="2">
        <f>G130+I130+K130+M130</f>
        <v>18704</v>
      </c>
      <c r="F130" s="2">
        <f aca="true" t="shared" si="75" ref="F130:F140">H130+J130+L130+N130</f>
        <v>17923.5</v>
      </c>
      <c r="G130" s="3">
        <f>743.8+H130-163.3</f>
        <v>8162.8</v>
      </c>
      <c r="H130" s="3">
        <v>7582.3</v>
      </c>
      <c r="I130" s="3">
        <v>0</v>
      </c>
      <c r="J130" s="3">
        <v>0</v>
      </c>
      <c r="K130" s="3">
        <f>200+L130</f>
        <v>1841.2</v>
      </c>
      <c r="L130" s="3">
        <v>1641.2</v>
      </c>
      <c r="M130" s="3">
        <v>8700</v>
      </c>
      <c r="N130" s="3">
        <f aca="true" t="shared" si="76" ref="N130:N136">M130</f>
        <v>8700</v>
      </c>
      <c r="O130" s="73"/>
      <c r="P130" s="4"/>
    </row>
    <row r="131" spans="1:16" ht="53.25" customHeight="1">
      <c r="A131" s="104"/>
      <c r="B131" s="96"/>
      <c r="C131" s="1" t="s">
        <v>71</v>
      </c>
      <c r="D131" s="1" t="s">
        <v>13</v>
      </c>
      <c r="E131" s="2">
        <f>G131+I131+K131+M131</f>
        <v>19837</v>
      </c>
      <c r="F131" s="2">
        <f t="shared" si="75"/>
        <v>18611.699999999997</v>
      </c>
      <c r="G131" s="3">
        <f>H131+75.9+193.4+46+230+480</f>
        <v>9108.8</v>
      </c>
      <c r="H131" s="3">
        <f>8393.5-250+30+30-120</f>
        <v>8083.5</v>
      </c>
      <c r="I131" s="3">
        <v>0</v>
      </c>
      <c r="J131" s="3">
        <v>0</v>
      </c>
      <c r="K131" s="3">
        <f>200+L131</f>
        <v>1652.8999999999999</v>
      </c>
      <c r="L131" s="3">
        <f>3129.6+15-1691.7</f>
        <v>1452.8999999999999</v>
      </c>
      <c r="M131" s="3">
        <f>9075.3-M143</f>
        <v>9075.3</v>
      </c>
      <c r="N131" s="3">
        <f t="shared" si="76"/>
        <v>9075.3</v>
      </c>
      <c r="O131" s="73"/>
      <c r="P131" s="4"/>
    </row>
    <row r="132" spans="1:16" ht="15" customHeight="1">
      <c r="A132" s="104"/>
      <c r="B132" s="96"/>
      <c r="C132" s="70" t="s">
        <v>83</v>
      </c>
      <c r="D132" s="1" t="s">
        <v>14</v>
      </c>
      <c r="E132" s="2">
        <f>G132+I132+K132+M132</f>
        <v>22904.72</v>
      </c>
      <c r="F132" s="2">
        <f t="shared" si="75"/>
        <v>22362.42</v>
      </c>
      <c r="G132" s="3">
        <f>H132+542.3</f>
        <v>10458.4</v>
      </c>
      <c r="H132" s="3">
        <f>9812.6+103.5</f>
        <v>9916.1</v>
      </c>
      <c r="I132" s="3">
        <v>0</v>
      </c>
      <c r="J132" s="3">
        <v>0</v>
      </c>
      <c r="K132" s="3">
        <f>L132</f>
        <v>2868.42</v>
      </c>
      <c r="L132" s="3">
        <f>2868.42</f>
        <v>2868.42</v>
      </c>
      <c r="M132" s="3">
        <f>9577.9-M144</f>
        <v>9577.9</v>
      </c>
      <c r="N132" s="3">
        <f t="shared" si="76"/>
        <v>9577.9</v>
      </c>
      <c r="O132" s="73"/>
      <c r="P132" s="4"/>
    </row>
    <row r="133" spans="1:16" ht="15.75">
      <c r="A133" s="104"/>
      <c r="B133" s="96"/>
      <c r="C133" s="71"/>
      <c r="D133" s="1" t="s">
        <v>15</v>
      </c>
      <c r="E133" s="2">
        <f>G133+I133+K133+M133</f>
        <v>24572.800000000003</v>
      </c>
      <c r="F133" s="2">
        <f t="shared" si="75"/>
        <v>23056</v>
      </c>
      <c r="G133" s="3">
        <f aca="true" t="shared" si="77" ref="G133:G140">G132</f>
        <v>10458.4</v>
      </c>
      <c r="H133" s="3">
        <v>8941.6</v>
      </c>
      <c r="I133" s="3">
        <v>0</v>
      </c>
      <c r="J133" s="3">
        <v>0</v>
      </c>
      <c r="K133" s="3">
        <v>4700.8</v>
      </c>
      <c r="L133" s="3">
        <f>K133</f>
        <v>4700.8</v>
      </c>
      <c r="M133" s="3">
        <f>9413.6</f>
        <v>9413.6</v>
      </c>
      <c r="N133" s="3">
        <f t="shared" si="76"/>
        <v>9413.6</v>
      </c>
      <c r="O133" s="73"/>
      <c r="P133" s="4"/>
    </row>
    <row r="134" spans="1:16" ht="15.75">
      <c r="A134" s="104"/>
      <c r="B134" s="96"/>
      <c r="C134" s="71"/>
      <c r="D134" s="1" t="s">
        <v>16</v>
      </c>
      <c r="E134" s="2">
        <f>G134+I134+K134+M134</f>
        <v>22769.6</v>
      </c>
      <c r="F134" s="2">
        <f t="shared" si="75"/>
        <v>21237.3</v>
      </c>
      <c r="G134" s="3">
        <f>G133</f>
        <v>10458.4</v>
      </c>
      <c r="H134" s="3">
        <f>8877.4+300+29.1</f>
        <v>9206.5</v>
      </c>
      <c r="I134" s="3">
        <v>0</v>
      </c>
      <c r="J134" s="3">
        <v>0</v>
      </c>
      <c r="K134" s="3">
        <v>4735.8</v>
      </c>
      <c r="L134" s="3">
        <v>4455.4</v>
      </c>
      <c r="M134" s="3">
        <f>7548.9+26.5</f>
        <v>7575.4</v>
      </c>
      <c r="N134" s="3">
        <f t="shared" si="76"/>
        <v>7575.4</v>
      </c>
      <c r="O134" s="73"/>
      <c r="P134" s="4"/>
    </row>
    <row r="135" spans="1:24" ht="15.75">
      <c r="A135" s="104"/>
      <c r="B135" s="96"/>
      <c r="C135" s="71"/>
      <c r="D135" s="1" t="s">
        <v>17</v>
      </c>
      <c r="E135" s="2">
        <f aca="true" t="shared" si="78" ref="E135:E140">G135+I135+K135+M135</f>
        <v>31229.1</v>
      </c>
      <c r="F135" s="2">
        <f t="shared" si="75"/>
        <v>19003</v>
      </c>
      <c r="G135" s="3">
        <f>8293.3+10700</f>
        <v>18993.3</v>
      </c>
      <c r="H135" s="3">
        <v>11448</v>
      </c>
      <c r="I135" s="3">
        <v>0</v>
      </c>
      <c r="J135" s="3">
        <v>0</v>
      </c>
      <c r="K135" s="3">
        <f aca="true" t="shared" si="79" ref="K135:K140">K134</f>
        <v>4735.8</v>
      </c>
      <c r="L135" s="3">
        <v>55</v>
      </c>
      <c r="M135" s="3">
        <v>7500</v>
      </c>
      <c r="N135" s="3">
        <f t="shared" si="76"/>
        <v>7500</v>
      </c>
      <c r="O135" s="73"/>
      <c r="P135" s="4"/>
      <c r="W135" s="36">
        <f>G135-H135</f>
        <v>7545.299999999999</v>
      </c>
      <c r="X135" s="36">
        <v>10699.4</v>
      </c>
    </row>
    <row r="136" spans="1:16" ht="15.75">
      <c r="A136" s="104"/>
      <c r="B136" s="96"/>
      <c r="C136" s="71"/>
      <c r="D136" s="1" t="s">
        <v>97</v>
      </c>
      <c r="E136" s="2">
        <f t="shared" si="78"/>
        <v>31219.1</v>
      </c>
      <c r="F136" s="2">
        <f t="shared" si="75"/>
        <v>18955.8</v>
      </c>
      <c r="G136" s="3">
        <f t="shared" si="77"/>
        <v>18993.3</v>
      </c>
      <c r="H136" s="3">
        <v>11410.8</v>
      </c>
      <c r="I136" s="3">
        <v>0</v>
      </c>
      <c r="J136" s="3">
        <v>0</v>
      </c>
      <c r="K136" s="3">
        <f t="shared" si="79"/>
        <v>4735.8</v>
      </c>
      <c r="L136" s="3">
        <v>55</v>
      </c>
      <c r="M136" s="3">
        <v>7490</v>
      </c>
      <c r="N136" s="3">
        <f t="shared" si="76"/>
        <v>7490</v>
      </c>
      <c r="O136" s="73"/>
      <c r="P136" s="4"/>
    </row>
    <row r="137" spans="1:16" ht="15.75">
      <c r="A137" s="104"/>
      <c r="B137" s="96"/>
      <c r="C137" s="71"/>
      <c r="D137" s="1" t="s">
        <v>98</v>
      </c>
      <c r="E137" s="2">
        <f t="shared" si="78"/>
        <v>31219.1</v>
      </c>
      <c r="F137" s="2">
        <f t="shared" si="75"/>
        <v>18900.8</v>
      </c>
      <c r="G137" s="3">
        <f t="shared" si="77"/>
        <v>18993.3</v>
      </c>
      <c r="H137" s="3">
        <v>11410.8</v>
      </c>
      <c r="I137" s="3">
        <v>0</v>
      </c>
      <c r="J137" s="3">
        <v>0</v>
      </c>
      <c r="K137" s="3">
        <f t="shared" si="79"/>
        <v>4735.8</v>
      </c>
      <c r="L137" s="3">
        <v>0</v>
      </c>
      <c r="M137" s="3">
        <f>M136</f>
        <v>7490</v>
      </c>
      <c r="N137" s="3">
        <f>M137</f>
        <v>7490</v>
      </c>
      <c r="O137" s="73"/>
      <c r="P137" s="4"/>
    </row>
    <row r="138" spans="1:16" ht="15.75">
      <c r="A138" s="104"/>
      <c r="B138" s="96"/>
      <c r="C138" s="71"/>
      <c r="D138" s="1" t="s">
        <v>99</v>
      </c>
      <c r="E138" s="2">
        <f t="shared" si="78"/>
        <v>31219.1</v>
      </c>
      <c r="F138" s="2">
        <f t="shared" si="75"/>
        <v>0</v>
      </c>
      <c r="G138" s="3">
        <f t="shared" si="77"/>
        <v>18993.3</v>
      </c>
      <c r="H138" s="3">
        <v>0</v>
      </c>
      <c r="I138" s="3">
        <v>0</v>
      </c>
      <c r="J138" s="3">
        <v>0</v>
      </c>
      <c r="K138" s="3">
        <f t="shared" si="79"/>
        <v>4735.8</v>
      </c>
      <c r="L138" s="3">
        <v>0</v>
      </c>
      <c r="M138" s="3">
        <f>M137</f>
        <v>7490</v>
      </c>
      <c r="N138" s="3">
        <v>0</v>
      </c>
      <c r="O138" s="73"/>
      <c r="P138" s="4"/>
    </row>
    <row r="139" spans="1:16" ht="15.75">
      <c r="A139" s="104"/>
      <c r="B139" s="96"/>
      <c r="C139" s="71"/>
      <c r="D139" s="1" t="s">
        <v>100</v>
      </c>
      <c r="E139" s="2">
        <f t="shared" si="78"/>
        <v>31219.1</v>
      </c>
      <c r="F139" s="2">
        <f t="shared" si="75"/>
        <v>0</v>
      </c>
      <c r="G139" s="3">
        <f t="shared" si="77"/>
        <v>18993.3</v>
      </c>
      <c r="H139" s="3">
        <v>0</v>
      </c>
      <c r="I139" s="3">
        <v>0</v>
      </c>
      <c r="J139" s="3">
        <v>0</v>
      </c>
      <c r="K139" s="3">
        <f t="shared" si="79"/>
        <v>4735.8</v>
      </c>
      <c r="L139" s="3">
        <v>0</v>
      </c>
      <c r="M139" s="3">
        <f>M138</f>
        <v>7490</v>
      </c>
      <c r="N139" s="3">
        <v>0</v>
      </c>
      <c r="O139" s="73"/>
      <c r="P139" s="4"/>
    </row>
    <row r="140" spans="1:16" ht="37.5" customHeight="1">
      <c r="A140" s="104"/>
      <c r="B140" s="96"/>
      <c r="C140" s="87"/>
      <c r="D140" s="1" t="s">
        <v>101</v>
      </c>
      <c r="E140" s="2">
        <f t="shared" si="78"/>
        <v>31219.1</v>
      </c>
      <c r="F140" s="2">
        <f t="shared" si="75"/>
        <v>0</v>
      </c>
      <c r="G140" s="3">
        <f t="shared" si="77"/>
        <v>18993.3</v>
      </c>
      <c r="H140" s="3">
        <v>0</v>
      </c>
      <c r="I140" s="3">
        <v>0</v>
      </c>
      <c r="J140" s="3">
        <v>0</v>
      </c>
      <c r="K140" s="3">
        <f t="shared" si="79"/>
        <v>4735.8</v>
      </c>
      <c r="L140" s="3">
        <v>0</v>
      </c>
      <c r="M140" s="3">
        <f>M139</f>
        <v>7490</v>
      </c>
      <c r="N140" s="3">
        <v>0</v>
      </c>
      <c r="O140" s="73"/>
      <c r="P140" s="4"/>
    </row>
    <row r="141" spans="1:16" s="12" customFormat="1" ht="15.75">
      <c r="A141" s="104"/>
      <c r="B141" s="106" t="s">
        <v>112</v>
      </c>
      <c r="C141" s="70" t="s">
        <v>56</v>
      </c>
      <c r="D141" s="10" t="s">
        <v>11</v>
      </c>
      <c r="E141" s="2">
        <f>SUM(E142:E147)</f>
        <v>220</v>
      </c>
      <c r="F141" s="2">
        <f>SUM(F142:F147)</f>
        <v>0</v>
      </c>
      <c r="G141" s="2">
        <f aca="true" t="shared" si="80" ref="G141:L141">SUM(G142:G147)</f>
        <v>220</v>
      </c>
      <c r="H141" s="2">
        <f>SUM(H142:H147)</f>
        <v>0</v>
      </c>
      <c r="I141" s="2">
        <f t="shared" si="80"/>
        <v>0</v>
      </c>
      <c r="J141" s="2">
        <f t="shared" si="80"/>
        <v>0</v>
      </c>
      <c r="K141" s="2">
        <f t="shared" si="80"/>
        <v>0</v>
      </c>
      <c r="L141" s="2">
        <f t="shared" si="80"/>
        <v>0</v>
      </c>
      <c r="M141" s="2">
        <f>SUM(M142:M147)</f>
        <v>0</v>
      </c>
      <c r="N141" s="2">
        <f>SUM(N142:N147)</f>
        <v>0</v>
      </c>
      <c r="O141" s="73"/>
      <c r="P141" s="4"/>
    </row>
    <row r="142" spans="1:16" s="35" customFormat="1" ht="87.75" customHeight="1">
      <c r="A142" s="104"/>
      <c r="B142" s="99"/>
      <c r="C142" s="71"/>
      <c r="D142" s="1" t="s">
        <v>12</v>
      </c>
      <c r="E142" s="2">
        <f>G142+I142+K142+M142</f>
        <v>220</v>
      </c>
      <c r="F142" s="2">
        <f>H142+J142+L142+N142</f>
        <v>0</v>
      </c>
      <c r="G142" s="3">
        <v>220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f>M142</f>
        <v>0</v>
      </c>
      <c r="O142" s="73"/>
      <c r="P142" s="37"/>
    </row>
    <row r="143" spans="1:16" ht="75.75" customHeight="1">
      <c r="A143" s="104"/>
      <c r="B143" s="99"/>
      <c r="C143" s="71"/>
      <c r="D143" s="1" t="s">
        <v>13</v>
      </c>
      <c r="E143" s="75" t="s">
        <v>107</v>
      </c>
      <c r="F143" s="76"/>
      <c r="G143" s="76"/>
      <c r="H143" s="76"/>
      <c r="I143" s="76"/>
      <c r="J143" s="76"/>
      <c r="K143" s="76"/>
      <c r="L143" s="76"/>
      <c r="M143" s="76"/>
      <c r="N143" s="77"/>
      <c r="O143" s="73"/>
      <c r="P143" s="4"/>
    </row>
    <row r="144" spans="1:16" ht="15" hidden="1">
      <c r="A144" s="104"/>
      <c r="B144" s="99"/>
      <c r="C144" s="8"/>
      <c r="D144" s="1" t="s">
        <v>14</v>
      </c>
      <c r="E144" s="78"/>
      <c r="F144" s="79"/>
      <c r="G144" s="79"/>
      <c r="H144" s="79"/>
      <c r="I144" s="79"/>
      <c r="J144" s="79"/>
      <c r="K144" s="79"/>
      <c r="L144" s="79"/>
      <c r="M144" s="79"/>
      <c r="N144" s="80"/>
      <c r="O144" s="73"/>
      <c r="P144" s="4"/>
    </row>
    <row r="145" spans="1:16" ht="15" hidden="1">
      <c r="A145" s="104"/>
      <c r="B145" s="99"/>
      <c r="C145" s="8"/>
      <c r="D145" s="1" t="s">
        <v>15</v>
      </c>
      <c r="E145" s="78"/>
      <c r="F145" s="79"/>
      <c r="G145" s="79"/>
      <c r="H145" s="79"/>
      <c r="I145" s="79"/>
      <c r="J145" s="79"/>
      <c r="K145" s="79"/>
      <c r="L145" s="79"/>
      <c r="M145" s="79"/>
      <c r="N145" s="80"/>
      <c r="O145" s="73"/>
      <c r="P145" s="4"/>
    </row>
    <row r="146" spans="1:16" ht="15" hidden="1">
      <c r="A146" s="104"/>
      <c r="B146" s="99"/>
      <c r="C146" s="8"/>
      <c r="D146" s="1" t="s">
        <v>16</v>
      </c>
      <c r="E146" s="78"/>
      <c r="F146" s="79"/>
      <c r="G146" s="79"/>
      <c r="H146" s="79"/>
      <c r="I146" s="79"/>
      <c r="J146" s="79"/>
      <c r="K146" s="79"/>
      <c r="L146" s="79"/>
      <c r="M146" s="79"/>
      <c r="N146" s="80"/>
      <c r="O146" s="73"/>
      <c r="P146" s="4"/>
    </row>
    <row r="147" spans="1:16" ht="15" hidden="1">
      <c r="A147" s="105"/>
      <c r="B147" s="100"/>
      <c r="C147" s="9"/>
      <c r="D147" s="1" t="s">
        <v>17</v>
      </c>
      <c r="E147" s="81"/>
      <c r="F147" s="82"/>
      <c r="G147" s="82"/>
      <c r="H147" s="82"/>
      <c r="I147" s="82"/>
      <c r="J147" s="82"/>
      <c r="K147" s="82"/>
      <c r="L147" s="82"/>
      <c r="M147" s="82"/>
      <c r="N147" s="83"/>
      <c r="O147" s="74"/>
      <c r="P147" s="4"/>
    </row>
    <row r="148" spans="1:16" ht="15.75">
      <c r="A148" s="41"/>
      <c r="B148" s="112" t="s">
        <v>51</v>
      </c>
      <c r="C148" s="88" t="s">
        <v>56</v>
      </c>
      <c r="D148" s="1" t="s">
        <v>11</v>
      </c>
      <c r="E148" s="2">
        <f>SUM(E149:E159)</f>
        <v>5400</v>
      </c>
      <c r="F148" s="2">
        <f aca="true" t="shared" si="81" ref="F148:N148">SUM(F149:F159)</f>
        <v>900</v>
      </c>
      <c r="G148" s="2">
        <f t="shared" si="81"/>
        <v>5400</v>
      </c>
      <c r="H148" s="2">
        <f t="shared" si="81"/>
        <v>900</v>
      </c>
      <c r="I148" s="2">
        <f t="shared" si="81"/>
        <v>0</v>
      </c>
      <c r="J148" s="2">
        <f t="shared" si="81"/>
        <v>0</v>
      </c>
      <c r="K148" s="2">
        <f t="shared" si="81"/>
        <v>0</v>
      </c>
      <c r="L148" s="2">
        <f t="shared" si="81"/>
        <v>0</v>
      </c>
      <c r="M148" s="2">
        <f t="shared" si="81"/>
        <v>0</v>
      </c>
      <c r="N148" s="2">
        <f t="shared" si="81"/>
        <v>0</v>
      </c>
      <c r="O148" s="19"/>
      <c r="P148" s="4"/>
    </row>
    <row r="149" spans="1:16" s="26" customFormat="1" ht="15.75">
      <c r="A149" s="41"/>
      <c r="B149" s="113"/>
      <c r="C149" s="89"/>
      <c r="D149" s="1" t="s">
        <v>12</v>
      </c>
      <c r="E149" s="2">
        <f aca="true" t="shared" si="82" ref="E149:E159">G149+I149+K149+M149</f>
        <v>0</v>
      </c>
      <c r="F149" s="2">
        <f aca="true" t="shared" si="83" ref="F149:F159">H149+J149+L149+N149</f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19"/>
      <c r="P149" s="4"/>
    </row>
    <row r="150" spans="1:16" ht="15.75">
      <c r="A150" s="41"/>
      <c r="B150" s="113"/>
      <c r="C150" s="89"/>
      <c r="D150" s="1" t="s">
        <v>13</v>
      </c>
      <c r="E150" s="2">
        <f t="shared" si="82"/>
        <v>0</v>
      </c>
      <c r="F150" s="2">
        <f t="shared" si="83"/>
        <v>0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19"/>
      <c r="P150" s="4"/>
    </row>
    <row r="151" spans="1:16" ht="15.75">
      <c r="A151" s="41"/>
      <c r="B151" s="113"/>
      <c r="C151" s="89"/>
      <c r="D151" s="1" t="s">
        <v>14</v>
      </c>
      <c r="E151" s="2">
        <f t="shared" si="82"/>
        <v>0</v>
      </c>
      <c r="F151" s="2">
        <f t="shared" si="83"/>
        <v>0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19"/>
      <c r="P151" s="4"/>
    </row>
    <row r="152" spans="1:16" ht="15.75">
      <c r="A152" s="41"/>
      <c r="B152" s="113"/>
      <c r="C152" s="89"/>
      <c r="D152" s="1" t="s">
        <v>15</v>
      </c>
      <c r="E152" s="2">
        <f t="shared" si="82"/>
        <v>0</v>
      </c>
      <c r="F152" s="2">
        <f t="shared" si="83"/>
        <v>0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19"/>
      <c r="P152" s="4"/>
    </row>
    <row r="153" spans="1:16" ht="15.75">
      <c r="A153" s="41"/>
      <c r="B153" s="113"/>
      <c r="C153" s="89"/>
      <c r="D153" s="1" t="s">
        <v>16</v>
      </c>
      <c r="E153" s="2">
        <f t="shared" si="82"/>
        <v>0</v>
      </c>
      <c r="F153" s="2">
        <f t="shared" si="83"/>
        <v>0</v>
      </c>
      <c r="G153" s="3">
        <v>0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19"/>
      <c r="P153" s="4"/>
    </row>
    <row r="154" spans="1:16" ht="15.75">
      <c r="A154" s="41"/>
      <c r="B154" s="113"/>
      <c r="C154" s="89"/>
      <c r="D154" s="1" t="s">
        <v>17</v>
      </c>
      <c r="E154" s="2">
        <f t="shared" si="82"/>
        <v>900</v>
      </c>
      <c r="F154" s="2">
        <f t="shared" si="83"/>
        <v>900</v>
      </c>
      <c r="G154" s="3">
        <v>900</v>
      </c>
      <c r="H154" s="3">
        <v>900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19"/>
      <c r="P154" s="4"/>
    </row>
    <row r="155" spans="1:16" ht="15.75">
      <c r="A155" s="41"/>
      <c r="B155" s="113"/>
      <c r="C155" s="89"/>
      <c r="D155" s="1" t="s">
        <v>97</v>
      </c>
      <c r="E155" s="2">
        <f t="shared" si="82"/>
        <v>900</v>
      </c>
      <c r="F155" s="2">
        <f t="shared" si="83"/>
        <v>0</v>
      </c>
      <c r="G155" s="3">
        <v>900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19"/>
      <c r="P155" s="4"/>
    </row>
    <row r="156" spans="1:16" ht="15.75">
      <c r="A156" s="41"/>
      <c r="B156" s="113"/>
      <c r="C156" s="89"/>
      <c r="D156" s="1" t="s">
        <v>98</v>
      </c>
      <c r="E156" s="2">
        <f t="shared" si="82"/>
        <v>900</v>
      </c>
      <c r="F156" s="2">
        <f t="shared" si="83"/>
        <v>0</v>
      </c>
      <c r="G156" s="3">
        <v>900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19"/>
      <c r="P156" s="4"/>
    </row>
    <row r="157" spans="1:16" ht="15.75">
      <c r="A157" s="41"/>
      <c r="B157" s="113"/>
      <c r="C157" s="89"/>
      <c r="D157" s="1" t="s">
        <v>99</v>
      </c>
      <c r="E157" s="2">
        <f t="shared" si="82"/>
        <v>900</v>
      </c>
      <c r="F157" s="2">
        <f t="shared" si="83"/>
        <v>0</v>
      </c>
      <c r="G157" s="3">
        <v>900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19"/>
      <c r="P157" s="4"/>
    </row>
    <row r="158" spans="1:16" ht="15.75">
      <c r="A158" s="41"/>
      <c r="B158" s="113"/>
      <c r="C158" s="89"/>
      <c r="D158" s="1" t="s">
        <v>100</v>
      </c>
      <c r="E158" s="2">
        <f t="shared" si="82"/>
        <v>900</v>
      </c>
      <c r="F158" s="2">
        <f t="shared" si="83"/>
        <v>0</v>
      </c>
      <c r="G158" s="3">
        <v>900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19"/>
      <c r="P158" s="4"/>
    </row>
    <row r="159" spans="1:16" ht="15.75">
      <c r="A159" s="41"/>
      <c r="B159" s="114"/>
      <c r="C159" s="90"/>
      <c r="D159" s="1" t="s">
        <v>101</v>
      </c>
      <c r="E159" s="2">
        <f t="shared" si="82"/>
        <v>900</v>
      </c>
      <c r="F159" s="2">
        <f t="shared" si="83"/>
        <v>0</v>
      </c>
      <c r="G159" s="3">
        <v>900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3">
        <v>0</v>
      </c>
      <c r="O159" s="19"/>
      <c r="P159" s="4"/>
    </row>
    <row r="160" spans="1:16" ht="18" customHeight="1">
      <c r="A160" s="70" t="s">
        <v>18</v>
      </c>
      <c r="B160" s="14" t="s">
        <v>45</v>
      </c>
      <c r="C160" s="10"/>
      <c r="D160" s="10" t="s">
        <v>11</v>
      </c>
      <c r="E160" s="2">
        <f>SUM(E161:E171)</f>
        <v>2327470.6399999997</v>
      </c>
      <c r="F160" s="2">
        <f aca="true" t="shared" si="84" ref="F160:N160">SUM(F161:F171)</f>
        <v>1471002.4000000001</v>
      </c>
      <c r="G160" s="2">
        <f t="shared" si="84"/>
        <v>1397819.44</v>
      </c>
      <c r="H160" s="2">
        <f t="shared" si="84"/>
        <v>954421.3999999998</v>
      </c>
      <c r="I160" s="2">
        <f t="shared" si="84"/>
        <v>7627.1</v>
      </c>
      <c r="J160" s="2">
        <f t="shared" si="84"/>
        <v>127.1</v>
      </c>
      <c r="K160" s="2">
        <f t="shared" si="84"/>
        <v>477868.29999999993</v>
      </c>
      <c r="L160" s="2">
        <f>SUM(L161:L171)</f>
        <v>188387.9</v>
      </c>
      <c r="M160" s="2">
        <f>SUM(M161:M171)</f>
        <v>444155.7999999999</v>
      </c>
      <c r="N160" s="2">
        <f t="shared" si="84"/>
        <v>328065.99999999994</v>
      </c>
      <c r="O160" s="72" t="s">
        <v>86</v>
      </c>
      <c r="P160" s="4"/>
    </row>
    <row r="161" spans="1:16" s="12" customFormat="1" ht="31.5" customHeight="1">
      <c r="A161" s="71"/>
      <c r="B161" s="107" t="s">
        <v>117</v>
      </c>
      <c r="C161" s="10" t="s">
        <v>73</v>
      </c>
      <c r="D161" s="10" t="s">
        <v>12</v>
      </c>
      <c r="E161" s="2">
        <f>G161+I161+K161+M161</f>
        <v>180341.6</v>
      </c>
      <c r="F161" s="2">
        <f aca="true" t="shared" si="85" ref="E161:F165">H161+J161+L161+N161</f>
        <v>162018.30000000002</v>
      </c>
      <c r="G161" s="2">
        <f aca="true" t="shared" si="86" ref="G161:H164">G173+G209+G185+G197+G216+G223+G230+G237</f>
        <v>116756.20000000001</v>
      </c>
      <c r="H161" s="2">
        <f t="shared" si="86"/>
        <v>104347.90000000001</v>
      </c>
      <c r="I161" s="2">
        <f aca="true" t="shared" si="87" ref="I161:N161">I173+I209+I185+I197+I216+I223+I230+I237</f>
        <v>2500</v>
      </c>
      <c r="J161" s="2">
        <f t="shared" si="87"/>
        <v>0</v>
      </c>
      <c r="K161" s="2">
        <f t="shared" si="87"/>
        <v>27766.9</v>
      </c>
      <c r="L161" s="2">
        <f t="shared" si="87"/>
        <v>24351.9</v>
      </c>
      <c r="M161" s="2">
        <f t="shared" si="87"/>
        <v>33318.5</v>
      </c>
      <c r="N161" s="2">
        <f t="shared" si="87"/>
        <v>33318.5</v>
      </c>
      <c r="O161" s="73"/>
      <c r="P161" s="4"/>
    </row>
    <row r="162" spans="1:16" s="12" customFormat="1" ht="18" customHeight="1">
      <c r="A162" s="71"/>
      <c r="B162" s="107"/>
      <c r="C162" s="85" t="s">
        <v>74</v>
      </c>
      <c r="D162" s="10" t="s">
        <v>13</v>
      </c>
      <c r="E162" s="2">
        <f t="shared" si="85"/>
        <v>181324.74</v>
      </c>
      <c r="F162" s="2">
        <f>H162+J162+L162+N162</f>
        <v>173599.8</v>
      </c>
      <c r="G162" s="2">
        <f t="shared" si="86"/>
        <v>111578.54000000001</v>
      </c>
      <c r="H162" s="2">
        <f t="shared" si="86"/>
        <v>109904.6</v>
      </c>
      <c r="I162" s="2">
        <f aca="true" t="shared" si="88" ref="I162:N162">I174+I210+I186+I198+I217+I224+I231+I238</f>
        <v>2500</v>
      </c>
      <c r="J162" s="2">
        <f t="shared" si="88"/>
        <v>0</v>
      </c>
      <c r="K162" s="2">
        <f t="shared" si="88"/>
        <v>28121.9</v>
      </c>
      <c r="L162" s="2">
        <f t="shared" si="88"/>
        <v>24570.9</v>
      </c>
      <c r="M162" s="2">
        <f t="shared" si="88"/>
        <v>39124.3</v>
      </c>
      <c r="N162" s="2">
        <f t="shared" si="88"/>
        <v>39124.3</v>
      </c>
      <c r="O162" s="73"/>
      <c r="P162" s="4"/>
    </row>
    <row r="163" spans="1:16" s="12" customFormat="1" ht="18" customHeight="1">
      <c r="A163" s="71"/>
      <c r="B163" s="107"/>
      <c r="C163" s="85"/>
      <c r="D163" s="10" t="s">
        <v>14</v>
      </c>
      <c r="E163" s="2">
        <f t="shared" si="85"/>
        <v>197720.5</v>
      </c>
      <c r="F163" s="2">
        <f t="shared" si="85"/>
        <v>188559.5</v>
      </c>
      <c r="G163" s="2">
        <f t="shared" si="86"/>
        <v>113801.6</v>
      </c>
      <c r="H163" s="2">
        <f t="shared" si="86"/>
        <v>110275.6</v>
      </c>
      <c r="I163" s="2">
        <f aca="true" t="shared" si="89" ref="I163:N163">I175+I211+I187+I199+I218+I225+I232+I239</f>
        <v>2500</v>
      </c>
      <c r="J163" s="2">
        <f t="shared" si="89"/>
        <v>0</v>
      </c>
      <c r="K163" s="2">
        <f t="shared" si="89"/>
        <v>40223.799999999996</v>
      </c>
      <c r="L163" s="2">
        <f t="shared" si="89"/>
        <v>37088.799999999996</v>
      </c>
      <c r="M163" s="2">
        <f t="shared" si="89"/>
        <v>41195.1</v>
      </c>
      <c r="N163" s="2">
        <f t="shared" si="89"/>
        <v>41195.1</v>
      </c>
      <c r="O163" s="73"/>
      <c r="P163" s="4"/>
    </row>
    <row r="164" spans="1:16" s="12" customFormat="1" ht="18" customHeight="1">
      <c r="A164" s="71"/>
      <c r="B164" s="107"/>
      <c r="C164" s="85"/>
      <c r="D164" s="10" t="s">
        <v>15</v>
      </c>
      <c r="E164" s="2">
        <f t="shared" si="85"/>
        <v>221087.6</v>
      </c>
      <c r="F164" s="2">
        <f t="shared" si="85"/>
        <v>217736.5</v>
      </c>
      <c r="G164" s="2">
        <f>G176+G212+G188+G200+G219+G226+G233+G240</f>
        <v>127114.9</v>
      </c>
      <c r="H164" s="2">
        <f t="shared" si="86"/>
        <v>123763.8</v>
      </c>
      <c r="I164" s="2">
        <f aca="true" t="shared" si="90" ref="I164:N164">I176+I212+I188+I200+I219+I226+I233+I240</f>
        <v>127.1</v>
      </c>
      <c r="J164" s="2">
        <f t="shared" si="90"/>
        <v>127.1</v>
      </c>
      <c r="K164" s="2">
        <f t="shared" si="90"/>
        <v>47521.100000000006</v>
      </c>
      <c r="L164" s="2">
        <f t="shared" si="90"/>
        <v>47521.100000000006</v>
      </c>
      <c r="M164" s="2">
        <f t="shared" si="90"/>
        <v>46324.5</v>
      </c>
      <c r="N164" s="2">
        <f t="shared" si="90"/>
        <v>46324.5</v>
      </c>
      <c r="O164" s="73"/>
      <c r="P164" s="4"/>
    </row>
    <row r="165" spans="1:24" s="12" customFormat="1" ht="18" customHeight="1">
      <c r="A165" s="71"/>
      <c r="B165" s="107"/>
      <c r="C165" s="85"/>
      <c r="D165" s="10" t="s">
        <v>16</v>
      </c>
      <c r="E165" s="2">
        <f t="shared" si="85"/>
        <v>228198.6</v>
      </c>
      <c r="F165" s="2">
        <f t="shared" si="85"/>
        <v>221491.2</v>
      </c>
      <c r="G165" s="2">
        <f>G177+G189+G241</f>
        <v>132875.2</v>
      </c>
      <c r="H165" s="2">
        <f>H177+H189+H241</f>
        <v>129803</v>
      </c>
      <c r="I165" s="2">
        <f aca="true" t="shared" si="91" ref="I165:N165">I177+I213+I189+I201+I220+I227+I234+I241</f>
        <v>0</v>
      </c>
      <c r="J165" s="2">
        <f t="shared" si="91"/>
        <v>0</v>
      </c>
      <c r="K165" s="2">
        <f t="shared" si="91"/>
        <v>47747.8</v>
      </c>
      <c r="L165" s="2">
        <f t="shared" si="91"/>
        <v>44112.6</v>
      </c>
      <c r="M165" s="2">
        <f t="shared" si="91"/>
        <v>47575.6</v>
      </c>
      <c r="N165" s="2">
        <f t="shared" si="91"/>
        <v>47575.6</v>
      </c>
      <c r="O165" s="73"/>
      <c r="P165" s="54"/>
      <c r="Q165" s="60">
        <f>F165/E165*100</f>
        <v>97.06071816391511</v>
      </c>
      <c r="W165" s="48">
        <f>100-F165/E165*100</f>
        <v>2.939281836084888</v>
      </c>
      <c r="X165" s="48">
        <f>90-W165</f>
        <v>87.06071816391511</v>
      </c>
    </row>
    <row r="166" spans="1:24" s="60" customFormat="1" ht="18" customHeight="1">
      <c r="A166" s="71"/>
      <c r="B166" s="107"/>
      <c r="C166" s="85"/>
      <c r="D166" s="57" t="s">
        <v>17</v>
      </c>
      <c r="E166" s="58">
        <f aca="true" t="shared" si="92" ref="E166:F171">G166+I166+K166+M166</f>
        <v>223498.09999999998</v>
      </c>
      <c r="F166" s="58">
        <f t="shared" si="92"/>
        <v>175169.2</v>
      </c>
      <c r="G166" s="58">
        <f aca="true" t="shared" si="93" ref="G166:N166">G178+G214+G190+G202+G221+G228+G235+G242</f>
        <v>132615.5</v>
      </c>
      <c r="H166" s="58">
        <f t="shared" si="93"/>
        <v>126663.1</v>
      </c>
      <c r="I166" s="58">
        <f t="shared" si="93"/>
        <v>0</v>
      </c>
      <c r="J166" s="58">
        <f t="shared" si="93"/>
        <v>0</v>
      </c>
      <c r="K166" s="58">
        <f t="shared" si="93"/>
        <v>47747.8</v>
      </c>
      <c r="L166" s="58">
        <f t="shared" si="93"/>
        <v>5371.3</v>
      </c>
      <c r="M166" s="58">
        <f t="shared" si="93"/>
        <v>43134.8</v>
      </c>
      <c r="N166" s="58">
        <f t="shared" si="93"/>
        <v>43134.8</v>
      </c>
      <c r="O166" s="73"/>
      <c r="P166" s="59"/>
      <c r="Q166" s="60">
        <f>F166/E166*100</f>
        <v>78.37614726926093</v>
      </c>
      <c r="W166" s="65">
        <f aca="true" t="shared" si="94" ref="W166:W171">100-F166/E166*100</f>
        <v>21.623852730739074</v>
      </c>
      <c r="X166" s="65">
        <f aca="true" t="shared" si="95" ref="X166:X171">90-W166</f>
        <v>68.37614726926093</v>
      </c>
    </row>
    <row r="167" spans="1:24" s="60" customFormat="1" ht="18" customHeight="1">
      <c r="A167" s="71"/>
      <c r="B167" s="107"/>
      <c r="C167" s="85"/>
      <c r="D167" s="57" t="s">
        <v>97</v>
      </c>
      <c r="E167" s="58">
        <f t="shared" si="92"/>
        <v>219059.9</v>
      </c>
      <c r="F167" s="58">
        <f t="shared" si="92"/>
        <v>168899.6</v>
      </c>
      <c r="G167" s="58">
        <f>G179+G191+G203+G243</f>
        <v>132615.5</v>
      </c>
      <c r="H167" s="58">
        <f aca="true" t="shared" si="96" ref="H167:N167">H179+H191+H203+H243</f>
        <v>124831.7</v>
      </c>
      <c r="I167" s="58">
        <f t="shared" si="96"/>
        <v>0</v>
      </c>
      <c r="J167" s="58">
        <f t="shared" si="96"/>
        <v>0</v>
      </c>
      <c r="K167" s="58">
        <f t="shared" si="96"/>
        <v>47747.8</v>
      </c>
      <c r="L167" s="58">
        <f t="shared" si="96"/>
        <v>5371.3</v>
      </c>
      <c r="M167" s="58">
        <f t="shared" si="96"/>
        <v>38696.6</v>
      </c>
      <c r="N167" s="58">
        <f t="shared" si="96"/>
        <v>38696.6</v>
      </c>
      <c r="O167" s="73"/>
      <c r="P167" s="59"/>
      <c r="Q167" s="60">
        <f>F167/E167*100</f>
        <v>77.10201638912463</v>
      </c>
      <c r="W167" s="65">
        <f t="shared" si="94"/>
        <v>22.89798361087537</v>
      </c>
      <c r="X167" s="65">
        <f t="shared" si="95"/>
        <v>67.10201638912463</v>
      </c>
    </row>
    <row r="168" spans="1:24" s="60" customFormat="1" ht="18" customHeight="1">
      <c r="A168" s="71"/>
      <c r="B168" s="107"/>
      <c r="C168" s="85"/>
      <c r="D168" s="57" t="s">
        <v>98</v>
      </c>
      <c r="E168" s="58">
        <f t="shared" si="92"/>
        <v>219059.9</v>
      </c>
      <c r="F168" s="58">
        <f t="shared" si="92"/>
        <v>163528.3</v>
      </c>
      <c r="G168" s="58">
        <f aca="true" t="shared" si="97" ref="G168:N168">G180+G192+G204+G244</f>
        <v>132615.5</v>
      </c>
      <c r="H168" s="58">
        <f t="shared" si="97"/>
        <v>124831.7</v>
      </c>
      <c r="I168" s="58">
        <f t="shared" si="97"/>
        <v>0</v>
      </c>
      <c r="J168" s="58">
        <f t="shared" si="97"/>
        <v>0</v>
      </c>
      <c r="K168" s="58">
        <f t="shared" si="97"/>
        <v>47747.8</v>
      </c>
      <c r="L168" s="58">
        <f t="shared" si="97"/>
        <v>0</v>
      </c>
      <c r="M168" s="58">
        <f t="shared" si="97"/>
        <v>38696.6</v>
      </c>
      <c r="N168" s="58">
        <f t="shared" si="97"/>
        <v>38696.6</v>
      </c>
      <c r="O168" s="73"/>
      <c r="P168" s="59"/>
      <c r="Q168" s="60">
        <f>F168/E168*100</f>
        <v>74.65003864239873</v>
      </c>
      <c r="W168" s="65">
        <f t="shared" si="94"/>
        <v>25.349961357601273</v>
      </c>
      <c r="X168" s="65">
        <f t="shared" si="95"/>
        <v>64.65003864239873</v>
      </c>
    </row>
    <row r="169" spans="1:24" s="12" customFormat="1" ht="18" customHeight="1">
      <c r="A169" s="71"/>
      <c r="B169" s="107"/>
      <c r="C169" s="85"/>
      <c r="D169" s="10" t="s">
        <v>99</v>
      </c>
      <c r="E169" s="2">
        <f t="shared" si="92"/>
        <v>219059.9</v>
      </c>
      <c r="F169" s="2">
        <f t="shared" si="92"/>
        <v>0</v>
      </c>
      <c r="G169" s="2">
        <f aca="true" t="shared" si="98" ref="G169:N169">G181+G193+G205+G245</f>
        <v>132615.5</v>
      </c>
      <c r="H169" s="2">
        <f t="shared" si="98"/>
        <v>0</v>
      </c>
      <c r="I169" s="2">
        <f t="shared" si="98"/>
        <v>0</v>
      </c>
      <c r="J169" s="2">
        <f t="shared" si="98"/>
        <v>0</v>
      </c>
      <c r="K169" s="2">
        <f t="shared" si="98"/>
        <v>47747.8</v>
      </c>
      <c r="L169" s="2">
        <f t="shared" si="98"/>
        <v>0</v>
      </c>
      <c r="M169" s="2">
        <f t="shared" si="98"/>
        <v>38696.6</v>
      </c>
      <c r="N169" s="2">
        <f t="shared" si="98"/>
        <v>0</v>
      </c>
      <c r="O169" s="73"/>
      <c r="P169" s="4"/>
      <c r="W169" s="48">
        <f t="shared" si="94"/>
        <v>100</v>
      </c>
      <c r="X169" s="48">
        <f t="shared" si="95"/>
        <v>-10</v>
      </c>
    </row>
    <row r="170" spans="1:24" s="12" customFormat="1" ht="18" customHeight="1">
      <c r="A170" s="71"/>
      <c r="B170" s="107"/>
      <c r="C170" s="85"/>
      <c r="D170" s="10" t="s">
        <v>100</v>
      </c>
      <c r="E170" s="2">
        <f t="shared" si="92"/>
        <v>219059.9</v>
      </c>
      <c r="F170" s="2">
        <f t="shared" si="92"/>
        <v>0</v>
      </c>
      <c r="G170" s="2">
        <f aca="true" t="shared" si="99" ref="G170:N170">G182+G194+G206+G246</f>
        <v>132615.5</v>
      </c>
      <c r="H170" s="2">
        <f t="shared" si="99"/>
        <v>0</v>
      </c>
      <c r="I170" s="2">
        <f t="shared" si="99"/>
        <v>0</v>
      </c>
      <c r="J170" s="2">
        <f t="shared" si="99"/>
        <v>0</v>
      </c>
      <c r="K170" s="2">
        <f t="shared" si="99"/>
        <v>47747.8</v>
      </c>
      <c r="L170" s="2">
        <f t="shared" si="99"/>
        <v>0</v>
      </c>
      <c r="M170" s="2">
        <f t="shared" si="99"/>
        <v>38696.6</v>
      </c>
      <c r="N170" s="2">
        <f t="shared" si="99"/>
        <v>0</v>
      </c>
      <c r="O170" s="73"/>
      <c r="P170" s="4"/>
      <c r="W170" s="48">
        <f t="shared" si="94"/>
        <v>100</v>
      </c>
      <c r="X170" s="48">
        <f t="shared" si="95"/>
        <v>-10</v>
      </c>
    </row>
    <row r="171" spans="1:24" s="12" customFormat="1" ht="18" customHeight="1">
      <c r="A171" s="71"/>
      <c r="B171" s="107"/>
      <c r="C171" s="86"/>
      <c r="D171" s="10" t="s">
        <v>101</v>
      </c>
      <c r="E171" s="2">
        <f t="shared" si="92"/>
        <v>219059.9</v>
      </c>
      <c r="F171" s="2">
        <f t="shared" si="92"/>
        <v>0</v>
      </c>
      <c r="G171" s="2">
        <f aca="true" t="shared" si="100" ref="G171:N171">G183+G195+G207+G247</f>
        <v>132615.5</v>
      </c>
      <c r="H171" s="2">
        <f t="shared" si="100"/>
        <v>0</v>
      </c>
      <c r="I171" s="2">
        <f t="shared" si="100"/>
        <v>0</v>
      </c>
      <c r="J171" s="2">
        <f t="shared" si="100"/>
        <v>0</v>
      </c>
      <c r="K171" s="2">
        <f t="shared" si="100"/>
        <v>47747.8</v>
      </c>
      <c r="L171" s="2">
        <f t="shared" si="100"/>
        <v>0</v>
      </c>
      <c r="M171" s="2">
        <f t="shared" si="100"/>
        <v>38696.6</v>
      </c>
      <c r="N171" s="2">
        <f t="shared" si="100"/>
        <v>0</v>
      </c>
      <c r="O171" s="73"/>
      <c r="P171" s="4"/>
      <c r="W171" s="48">
        <f t="shared" si="94"/>
        <v>100</v>
      </c>
      <c r="X171" s="48">
        <f t="shared" si="95"/>
        <v>-10</v>
      </c>
    </row>
    <row r="172" spans="1:16" s="12" customFormat="1" ht="15" customHeight="1">
      <c r="A172" s="71"/>
      <c r="B172" s="96" t="s">
        <v>62</v>
      </c>
      <c r="C172" s="6"/>
      <c r="D172" s="10" t="s">
        <v>11</v>
      </c>
      <c r="E172" s="2">
        <f>SUM(E173:E183)</f>
        <v>2225945.8099999996</v>
      </c>
      <c r="F172" s="2">
        <f aca="true" t="shared" si="101" ref="F172:N172">SUM(F173:F183)</f>
        <v>1435197.9700000002</v>
      </c>
      <c r="G172" s="2">
        <f t="shared" si="101"/>
        <v>1318223.94</v>
      </c>
      <c r="H172" s="2">
        <f t="shared" si="101"/>
        <v>923361.2999999999</v>
      </c>
      <c r="I172" s="2">
        <f t="shared" si="101"/>
        <v>0</v>
      </c>
      <c r="J172" s="2">
        <f t="shared" si="101"/>
        <v>0</v>
      </c>
      <c r="K172" s="2">
        <f t="shared" si="101"/>
        <v>468125.49999999994</v>
      </c>
      <c r="L172" s="2">
        <f>SUM(L173:L183)</f>
        <v>188330.1</v>
      </c>
      <c r="M172" s="2">
        <f>SUM(M173:M183)</f>
        <v>439596.3699999999</v>
      </c>
      <c r="N172" s="2">
        <f t="shared" si="101"/>
        <v>323506.56999999995</v>
      </c>
      <c r="O172" s="73"/>
      <c r="P172" s="4"/>
    </row>
    <row r="173" spans="1:16" s="26" customFormat="1" ht="79.5" customHeight="1">
      <c r="A173" s="71"/>
      <c r="B173" s="96"/>
      <c r="C173" s="1" t="s">
        <v>75</v>
      </c>
      <c r="D173" s="1" t="s">
        <v>12</v>
      </c>
      <c r="E173" s="2">
        <f aca="true" t="shared" si="102" ref="E173:F177">G173+I173+K173+M173</f>
        <v>164731.80000000002</v>
      </c>
      <c r="F173" s="2">
        <f t="shared" si="102"/>
        <v>160327.90000000002</v>
      </c>
      <c r="G173" s="3">
        <f>7559.8-2100+H173-1400+344.1</f>
        <v>108642.20000000001</v>
      </c>
      <c r="H173" s="3">
        <v>104238.3</v>
      </c>
      <c r="I173" s="3">
        <v>0</v>
      </c>
      <c r="J173" s="3">
        <v>0</v>
      </c>
      <c r="K173" s="3">
        <f>L173</f>
        <v>24351.9</v>
      </c>
      <c r="L173" s="3">
        <v>24351.9</v>
      </c>
      <c r="M173" s="3">
        <v>31737.7</v>
      </c>
      <c r="N173" s="3">
        <f aca="true" t="shared" si="103" ref="N173:N179">M173</f>
        <v>31737.7</v>
      </c>
      <c r="O173" s="73"/>
      <c r="P173" s="37"/>
    </row>
    <row r="174" spans="1:16" ht="89.25">
      <c r="A174" s="71"/>
      <c r="B174" s="96"/>
      <c r="C174" s="1" t="s">
        <v>76</v>
      </c>
      <c r="D174" s="1" t="s">
        <v>13</v>
      </c>
      <c r="E174" s="2">
        <f>G174+I174+K174+M174</f>
        <v>173705.71</v>
      </c>
      <c r="F174" s="2">
        <f>H174+J174+L174+N174</f>
        <v>171615.77</v>
      </c>
      <c r="G174" s="3">
        <f>H174+487.94+1186</f>
        <v>110218.94</v>
      </c>
      <c r="H174" s="3">
        <f>109545.8-H186-H198-H217-H224-H238+30+700+50-1496.4-1390.5-66+2531.7</f>
        <v>108545</v>
      </c>
      <c r="I174" s="3">
        <v>0</v>
      </c>
      <c r="J174" s="3">
        <v>0</v>
      </c>
      <c r="K174" s="3">
        <f>L174+416</f>
        <v>24986.9</v>
      </c>
      <c r="L174" s="3">
        <f>31823.2-121-7131.3</f>
        <v>24570.9</v>
      </c>
      <c r="M174" s="3">
        <f>39124.3-M210-M186-M198-M217-M224</f>
        <v>38499.87</v>
      </c>
      <c r="N174" s="3">
        <f t="shared" si="103"/>
        <v>38499.87</v>
      </c>
      <c r="O174" s="73"/>
      <c r="P174" s="4"/>
    </row>
    <row r="175" spans="1:16" ht="15" customHeight="1">
      <c r="A175" s="71"/>
      <c r="B175" s="96"/>
      <c r="C175" s="70" t="s">
        <v>118</v>
      </c>
      <c r="D175" s="1" t="s">
        <v>14</v>
      </c>
      <c r="E175" s="2">
        <f t="shared" si="102"/>
        <v>190853</v>
      </c>
      <c r="F175" s="2">
        <f t="shared" si="102"/>
        <v>187426</v>
      </c>
      <c r="G175" s="3">
        <f>H175+3427</f>
        <v>113420.7</v>
      </c>
      <c r="H175" s="3">
        <f>110093.1-H187-H199-H239+96.5+86</f>
        <v>109993.7</v>
      </c>
      <c r="I175" s="3">
        <v>0</v>
      </c>
      <c r="J175" s="3">
        <v>0</v>
      </c>
      <c r="K175" s="3">
        <f>L175</f>
        <v>37088.799999999996</v>
      </c>
      <c r="L175" s="3">
        <f>75318.7-36741.8-1488.1</f>
        <v>37088.799999999996</v>
      </c>
      <c r="M175" s="3">
        <f>41195.1-M211-M187-M199-M218-M225</f>
        <v>40343.5</v>
      </c>
      <c r="N175" s="3">
        <f t="shared" si="103"/>
        <v>40343.5</v>
      </c>
      <c r="O175" s="73"/>
      <c r="P175" s="4"/>
    </row>
    <row r="176" spans="1:16" ht="29.25" customHeight="1">
      <c r="A176" s="71"/>
      <c r="B176" s="96"/>
      <c r="C176" s="71"/>
      <c r="D176" s="1" t="s">
        <v>15</v>
      </c>
      <c r="E176" s="2">
        <f t="shared" si="102"/>
        <v>212843</v>
      </c>
      <c r="F176" s="2">
        <f>H176+J176+L176+N176</f>
        <v>210497.90000000002</v>
      </c>
      <c r="G176" s="3">
        <v>120178.9</v>
      </c>
      <c r="H176" s="3">
        <v>117833.8</v>
      </c>
      <c r="I176" s="3">
        <v>0</v>
      </c>
      <c r="J176" s="3">
        <v>0</v>
      </c>
      <c r="K176" s="3">
        <v>47463.3</v>
      </c>
      <c r="L176" s="3">
        <f>K176</f>
        <v>47463.3</v>
      </c>
      <c r="M176" s="3">
        <v>45200.8</v>
      </c>
      <c r="N176" s="3">
        <f t="shared" si="103"/>
        <v>45200.8</v>
      </c>
      <c r="O176" s="73"/>
      <c r="P176" s="4"/>
    </row>
    <row r="177" spans="1:16" ht="27.75" customHeight="1">
      <c r="A177" s="71"/>
      <c r="B177" s="96"/>
      <c r="C177" s="71"/>
      <c r="D177" s="1" t="s">
        <v>16</v>
      </c>
      <c r="E177" s="2">
        <f t="shared" si="102"/>
        <v>219758.7</v>
      </c>
      <c r="F177" s="2">
        <f>H177+J177+L177+N177</f>
        <v>213051.3</v>
      </c>
      <c r="G177" s="3">
        <v>124814.2</v>
      </c>
      <c r="H177" s="3">
        <f>129747.5-H189-H241+55.5</f>
        <v>121742</v>
      </c>
      <c r="I177" s="3">
        <v>0</v>
      </c>
      <c r="J177" s="3">
        <v>0</v>
      </c>
      <c r="K177" s="3">
        <v>47747.8</v>
      </c>
      <c r="L177" s="3">
        <v>44112.6</v>
      </c>
      <c r="M177" s="3">
        <f>33911+8310+5.1+5349.5-M189</f>
        <v>47196.7</v>
      </c>
      <c r="N177" s="3">
        <f t="shared" si="103"/>
        <v>47196.7</v>
      </c>
      <c r="O177" s="73"/>
      <c r="P177" s="4"/>
    </row>
    <row r="178" spans="1:23" ht="27.75" customHeight="1">
      <c r="A178" s="71"/>
      <c r="B178" s="96"/>
      <c r="C178" s="71"/>
      <c r="D178" s="1" t="s">
        <v>17</v>
      </c>
      <c r="E178" s="2">
        <f aca="true" t="shared" si="104" ref="E178:F183">G178+I178+K178+M178</f>
        <v>214374.09999999998</v>
      </c>
      <c r="F178" s="2">
        <f>H178+J178+L178+N178</f>
        <v>170063.2</v>
      </c>
      <c r="G178" s="3">
        <f>123491.5</f>
        <v>123491.5</v>
      </c>
      <c r="H178" s="3">
        <v>121557.1</v>
      </c>
      <c r="I178" s="3">
        <v>0</v>
      </c>
      <c r="J178" s="3">
        <v>0</v>
      </c>
      <c r="K178" s="3">
        <v>47747.8</v>
      </c>
      <c r="L178" s="3">
        <v>5371.3</v>
      </c>
      <c r="M178" s="3">
        <f>43134.8</f>
        <v>43134.8</v>
      </c>
      <c r="N178" s="3">
        <f t="shared" si="103"/>
        <v>43134.8</v>
      </c>
      <c r="O178" s="73"/>
      <c r="P178" s="4"/>
      <c r="W178" s="36">
        <f>G178-H178</f>
        <v>1934.3999999999942</v>
      </c>
    </row>
    <row r="179" spans="1:16" ht="27.75" customHeight="1">
      <c r="A179" s="71"/>
      <c r="B179" s="96"/>
      <c r="C179" s="71"/>
      <c r="D179" s="1" t="s">
        <v>97</v>
      </c>
      <c r="E179" s="2">
        <f t="shared" si="104"/>
        <v>209935.9</v>
      </c>
      <c r="F179" s="2">
        <f t="shared" si="104"/>
        <v>163793.6</v>
      </c>
      <c r="G179" s="3">
        <f>G178</f>
        <v>123491.5</v>
      </c>
      <c r="H179" s="3">
        <v>119725.7</v>
      </c>
      <c r="I179" s="3">
        <v>0</v>
      </c>
      <c r="J179" s="3">
        <v>0</v>
      </c>
      <c r="K179" s="3">
        <f>K178</f>
        <v>47747.8</v>
      </c>
      <c r="L179" s="3">
        <v>5371.3</v>
      </c>
      <c r="M179" s="3">
        <f>38696.6</f>
        <v>38696.6</v>
      </c>
      <c r="N179" s="3">
        <f t="shared" si="103"/>
        <v>38696.6</v>
      </c>
      <c r="O179" s="73"/>
      <c r="P179" s="4"/>
    </row>
    <row r="180" spans="1:16" ht="27.75" customHeight="1">
      <c r="A180" s="71"/>
      <c r="B180" s="96"/>
      <c r="C180" s="71"/>
      <c r="D180" s="1" t="s">
        <v>98</v>
      </c>
      <c r="E180" s="2">
        <f t="shared" si="104"/>
        <v>209935.9</v>
      </c>
      <c r="F180" s="2">
        <f t="shared" si="104"/>
        <v>158422.3</v>
      </c>
      <c r="G180" s="3">
        <f>G179</f>
        <v>123491.5</v>
      </c>
      <c r="H180" s="3">
        <v>119725.7</v>
      </c>
      <c r="I180" s="3">
        <v>0</v>
      </c>
      <c r="J180" s="3">
        <v>0</v>
      </c>
      <c r="K180" s="3">
        <f>K179</f>
        <v>47747.8</v>
      </c>
      <c r="L180" s="3">
        <v>0</v>
      </c>
      <c r="M180" s="3">
        <f>M179</f>
        <v>38696.6</v>
      </c>
      <c r="N180" s="3">
        <f>M180</f>
        <v>38696.6</v>
      </c>
      <c r="O180" s="73"/>
      <c r="P180" s="4"/>
    </row>
    <row r="181" spans="1:16" ht="27.75" customHeight="1">
      <c r="A181" s="71"/>
      <c r="B181" s="96"/>
      <c r="C181" s="71"/>
      <c r="D181" s="1" t="s">
        <v>99</v>
      </c>
      <c r="E181" s="2">
        <f t="shared" si="104"/>
        <v>209935.9</v>
      </c>
      <c r="F181" s="2">
        <f t="shared" si="104"/>
        <v>0</v>
      </c>
      <c r="G181" s="3">
        <f>G180</f>
        <v>123491.5</v>
      </c>
      <c r="H181" s="3">
        <v>0</v>
      </c>
      <c r="I181" s="3">
        <v>0</v>
      </c>
      <c r="J181" s="3">
        <v>0</v>
      </c>
      <c r="K181" s="3">
        <f>K180</f>
        <v>47747.8</v>
      </c>
      <c r="L181" s="3">
        <v>0</v>
      </c>
      <c r="M181" s="3">
        <f>M180</f>
        <v>38696.6</v>
      </c>
      <c r="N181" s="3">
        <v>0</v>
      </c>
      <c r="O181" s="73"/>
      <c r="P181" s="4"/>
    </row>
    <row r="182" spans="1:16" ht="27.75" customHeight="1">
      <c r="A182" s="71"/>
      <c r="B182" s="96"/>
      <c r="C182" s="71"/>
      <c r="D182" s="1" t="s">
        <v>100</v>
      </c>
      <c r="E182" s="2">
        <f t="shared" si="104"/>
        <v>209935.9</v>
      </c>
      <c r="F182" s="2">
        <f t="shared" si="104"/>
        <v>0</v>
      </c>
      <c r="G182" s="3">
        <f>G181</f>
        <v>123491.5</v>
      </c>
      <c r="H182" s="3">
        <v>0</v>
      </c>
      <c r="I182" s="3">
        <v>0</v>
      </c>
      <c r="J182" s="3">
        <v>0</v>
      </c>
      <c r="K182" s="3">
        <f>K181</f>
        <v>47747.8</v>
      </c>
      <c r="L182" s="3">
        <v>0</v>
      </c>
      <c r="M182" s="3">
        <f>M181</f>
        <v>38696.6</v>
      </c>
      <c r="N182" s="3">
        <v>0</v>
      </c>
      <c r="O182" s="73"/>
      <c r="P182" s="4"/>
    </row>
    <row r="183" spans="1:16" ht="22.5" customHeight="1">
      <c r="A183" s="71"/>
      <c r="B183" s="96"/>
      <c r="C183" s="87"/>
      <c r="D183" s="1" t="s">
        <v>101</v>
      </c>
      <c r="E183" s="2">
        <f t="shared" si="104"/>
        <v>209935.9</v>
      </c>
      <c r="F183" s="2">
        <f t="shared" si="104"/>
        <v>0</v>
      </c>
      <c r="G183" s="3">
        <f>G182</f>
        <v>123491.5</v>
      </c>
      <c r="H183" s="3">
        <v>0</v>
      </c>
      <c r="I183" s="3">
        <v>0</v>
      </c>
      <c r="J183" s="3">
        <v>0</v>
      </c>
      <c r="K183" s="3">
        <f>K182</f>
        <v>47747.8</v>
      </c>
      <c r="L183" s="3">
        <v>0</v>
      </c>
      <c r="M183" s="3">
        <f>M182</f>
        <v>38696.6</v>
      </c>
      <c r="N183" s="3">
        <v>0</v>
      </c>
      <c r="O183" s="73"/>
      <c r="P183" s="4"/>
    </row>
    <row r="184" spans="1:16" s="12" customFormat="1" ht="15.75" customHeight="1">
      <c r="A184" s="71"/>
      <c r="B184" s="96" t="s">
        <v>60</v>
      </c>
      <c r="C184" s="13"/>
      <c r="D184" s="10" t="s">
        <v>11</v>
      </c>
      <c r="E184" s="2">
        <f>SUM(E185:E195)</f>
        <v>85935.13</v>
      </c>
      <c r="F184" s="2">
        <f aca="true" t="shared" si="105" ref="F184:N184">SUM(F185:F195)</f>
        <v>32215.129999999997</v>
      </c>
      <c r="G184" s="2">
        <f t="shared" si="105"/>
        <v>66079.6</v>
      </c>
      <c r="H184" s="2">
        <f t="shared" si="105"/>
        <v>29164.6</v>
      </c>
      <c r="I184" s="2">
        <f t="shared" si="105"/>
        <v>7627.1</v>
      </c>
      <c r="J184" s="2">
        <f t="shared" si="105"/>
        <v>127.1</v>
      </c>
      <c r="K184" s="2">
        <f t="shared" si="105"/>
        <v>9362.8</v>
      </c>
      <c r="L184" s="2">
        <f t="shared" si="105"/>
        <v>57.8</v>
      </c>
      <c r="M184" s="2">
        <f t="shared" si="105"/>
        <v>2865.63</v>
      </c>
      <c r="N184" s="2">
        <f t="shared" si="105"/>
        <v>2865.63</v>
      </c>
      <c r="O184" s="73"/>
      <c r="P184" s="4"/>
    </row>
    <row r="185" spans="1:16" s="26" customFormat="1" ht="40.5" customHeight="1">
      <c r="A185" s="71"/>
      <c r="B185" s="96"/>
      <c r="C185" s="1" t="s">
        <v>77</v>
      </c>
      <c r="D185" s="1" t="s">
        <v>12</v>
      </c>
      <c r="E185" s="2">
        <f aca="true" t="shared" si="106" ref="E185:E195">G185+I185+K185+M185</f>
        <v>10633</v>
      </c>
      <c r="F185" s="2">
        <f aca="true" t="shared" si="107" ref="F185:F195">H185+J185+L185+N185</f>
        <v>580</v>
      </c>
      <c r="G185" s="3">
        <f>418+4100+H185</f>
        <v>4598</v>
      </c>
      <c r="H185" s="3">
        <v>80</v>
      </c>
      <c r="I185" s="3">
        <v>2500</v>
      </c>
      <c r="J185" s="3">
        <v>0</v>
      </c>
      <c r="K185" s="3">
        <v>3035</v>
      </c>
      <c r="L185" s="3">
        <v>0</v>
      </c>
      <c r="M185" s="3">
        <v>500</v>
      </c>
      <c r="N185" s="3">
        <f>M185</f>
        <v>500</v>
      </c>
      <c r="O185" s="73"/>
      <c r="P185" s="37"/>
    </row>
    <row r="186" spans="1:16" ht="38.25" customHeight="1">
      <c r="A186" s="71"/>
      <c r="B186" s="96"/>
      <c r="C186" s="70" t="s">
        <v>119</v>
      </c>
      <c r="D186" s="1" t="s">
        <v>13</v>
      </c>
      <c r="E186" s="2">
        <f t="shared" si="106"/>
        <v>6202.13</v>
      </c>
      <c r="F186" s="2">
        <f t="shared" si="107"/>
        <v>567.13</v>
      </c>
      <c r="G186" s="3">
        <f>H186</f>
        <v>100</v>
      </c>
      <c r="H186" s="3">
        <v>100</v>
      </c>
      <c r="I186" s="3">
        <v>2500</v>
      </c>
      <c r="J186" s="3">
        <v>0</v>
      </c>
      <c r="K186" s="3">
        <v>3135</v>
      </c>
      <c r="L186" s="3">
        <v>0</v>
      </c>
      <c r="M186" s="3">
        <v>467.13</v>
      </c>
      <c r="N186" s="3">
        <f>M186</f>
        <v>467.13</v>
      </c>
      <c r="O186" s="73"/>
      <c r="P186" s="4"/>
    </row>
    <row r="187" spans="1:16" ht="15" customHeight="1">
      <c r="A187" s="71"/>
      <c r="B187" s="96"/>
      <c r="C187" s="71"/>
      <c r="D187" s="1" t="s">
        <v>14</v>
      </c>
      <c r="E187" s="2">
        <f t="shared" si="106"/>
        <v>6474</v>
      </c>
      <c r="F187" s="2">
        <f t="shared" si="107"/>
        <v>740</v>
      </c>
      <c r="G187" s="3">
        <f>H187+99</f>
        <v>198.6</v>
      </c>
      <c r="H187" s="3">
        <v>99.6</v>
      </c>
      <c r="I187" s="3">
        <v>2500</v>
      </c>
      <c r="J187" s="3">
        <v>0</v>
      </c>
      <c r="K187" s="3">
        <v>3135</v>
      </c>
      <c r="L187" s="3">
        <v>0</v>
      </c>
      <c r="M187" s="3">
        <v>640.4</v>
      </c>
      <c r="N187" s="3">
        <f>M187</f>
        <v>640.4</v>
      </c>
      <c r="O187" s="73"/>
      <c r="P187" s="4"/>
    </row>
    <row r="188" spans="1:16" ht="15.75">
      <c r="A188" s="71"/>
      <c r="B188" s="96"/>
      <c r="C188" s="71"/>
      <c r="D188" s="1" t="s">
        <v>15</v>
      </c>
      <c r="E188" s="2">
        <f t="shared" si="106"/>
        <v>6994.1</v>
      </c>
      <c r="F188" s="2">
        <f t="shared" si="107"/>
        <v>6994.1</v>
      </c>
      <c r="G188" s="3">
        <v>5930</v>
      </c>
      <c r="H188" s="3">
        <f>G188</f>
        <v>5930</v>
      </c>
      <c r="I188" s="3">
        <v>127.1</v>
      </c>
      <c r="J188" s="3">
        <v>127.1</v>
      </c>
      <c r="K188" s="3">
        <v>57.8</v>
      </c>
      <c r="L188" s="3">
        <v>57.8</v>
      </c>
      <c r="M188" s="3">
        <v>879.2</v>
      </c>
      <c r="N188" s="3">
        <f>M188</f>
        <v>879.2</v>
      </c>
      <c r="O188" s="73"/>
      <c r="P188" s="4"/>
    </row>
    <row r="189" spans="1:16" ht="15.75">
      <c r="A189" s="71"/>
      <c r="B189" s="96"/>
      <c r="C189" s="71"/>
      <c r="D189" s="1" t="s">
        <v>16</v>
      </c>
      <c r="E189" s="2">
        <f t="shared" si="106"/>
        <v>8333.9</v>
      </c>
      <c r="F189" s="2">
        <f t="shared" si="107"/>
        <v>8333.9</v>
      </c>
      <c r="G189" s="3">
        <v>7955</v>
      </c>
      <c r="H189" s="3">
        <v>7955</v>
      </c>
      <c r="I189" s="3">
        <v>0</v>
      </c>
      <c r="J189" s="3">
        <v>0</v>
      </c>
      <c r="K189" s="3">
        <v>0</v>
      </c>
      <c r="L189" s="3">
        <v>0</v>
      </c>
      <c r="M189" s="3">
        <v>378.9</v>
      </c>
      <c r="N189" s="3">
        <f>M189</f>
        <v>378.9</v>
      </c>
      <c r="O189" s="73"/>
      <c r="P189" s="4"/>
    </row>
    <row r="190" spans="1:16" ht="15.75">
      <c r="A190" s="71"/>
      <c r="B190" s="96"/>
      <c r="C190" s="71"/>
      <c r="D190" s="1" t="s">
        <v>17</v>
      </c>
      <c r="E190" s="2">
        <f t="shared" si="106"/>
        <v>7883</v>
      </c>
      <c r="F190" s="2">
        <f t="shared" si="107"/>
        <v>5000</v>
      </c>
      <c r="G190" s="3">
        <v>7883</v>
      </c>
      <c r="H190" s="3">
        <v>5000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3">
        <v>0</v>
      </c>
      <c r="O190" s="73"/>
      <c r="P190" s="4"/>
    </row>
    <row r="191" spans="1:16" ht="15.75">
      <c r="A191" s="71"/>
      <c r="B191" s="96"/>
      <c r="C191" s="71"/>
      <c r="D191" s="1" t="s">
        <v>97</v>
      </c>
      <c r="E191" s="2">
        <f t="shared" si="106"/>
        <v>7883</v>
      </c>
      <c r="F191" s="2">
        <f t="shared" si="107"/>
        <v>5000</v>
      </c>
      <c r="G191" s="3">
        <f>G190</f>
        <v>7883</v>
      </c>
      <c r="H191" s="3">
        <v>5000</v>
      </c>
      <c r="I191" s="3">
        <v>0</v>
      </c>
      <c r="J191" s="3">
        <v>0</v>
      </c>
      <c r="K191" s="3">
        <v>0</v>
      </c>
      <c r="L191" s="3">
        <v>0</v>
      </c>
      <c r="M191" s="3">
        <v>0</v>
      </c>
      <c r="N191" s="3">
        <v>0</v>
      </c>
      <c r="O191" s="73"/>
      <c r="P191" s="4"/>
    </row>
    <row r="192" spans="1:16" ht="15.75">
      <c r="A192" s="71"/>
      <c r="B192" s="96"/>
      <c r="C192" s="71"/>
      <c r="D192" s="1" t="s">
        <v>98</v>
      </c>
      <c r="E192" s="2">
        <f t="shared" si="106"/>
        <v>7883</v>
      </c>
      <c r="F192" s="2">
        <f t="shared" si="107"/>
        <v>5000</v>
      </c>
      <c r="G192" s="3">
        <f>G191</f>
        <v>7883</v>
      </c>
      <c r="H192" s="3">
        <v>5000</v>
      </c>
      <c r="I192" s="3">
        <v>0</v>
      </c>
      <c r="J192" s="3">
        <v>0</v>
      </c>
      <c r="K192" s="3">
        <v>0</v>
      </c>
      <c r="L192" s="3">
        <v>0</v>
      </c>
      <c r="M192" s="3">
        <v>0</v>
      </c>
      <c r="N192" s="3">
        <v>0</v>
      </c>
      <c r="O192" s="73"/>
      <c r="P192" s="4"/>
    </row>
    <row r="193" spans="1:16" ht="15.75">
      <c r="A193" s="71"/>
      <c r="B193" s="96"/>
      <c r="C193" s="71"/>
      <c r="D193" s="1" t="s">
        <v>99</v>
      </c>
      <c r="E193" s="2">
        <f t="shared" si="106"/>
        <v>7883</v>
      </c>
      <c r="F193" s="2">
        <f t="shared" si="107"/>
        <v>0</v>
      </c>
      <c r="G193" s="3">
        <f>G192</f>
        <v>7883</v>
      </c>
      <c r="H193" s="3">
        <v>0</v>
      </c>
      <c r="I193" s="3">
        <v>0</v>
      </c>
      <c r="J193" s="3">
        <v>0</v>
      </c>
      <c r="K193" s="3">
        <v>0</v>
      </c>
      <c r="L193" s="3">
        <v>0</v>
      </c>
      <c r="M193" s="3">
        <v>0</v>
      </c>
      <c r="N193" s="3">
        <v>0</v>
      </c>
      <c r="O193" s="73"/>
      <c r="P193" s="4"/>
    </row>
    <row r="194" spans="1:16" ht="15.75">
      <c r="A194" s="71"/>
      <c r="B194" s="96"/>
      <c r="C194" s="71"/>
      <c r="D194" s="1" t="s">
        <v>100</v>
      </c>
      <c r="E194" s="2">
        <f t="shared" si="106"/>
        <v>7883</v>
      </c>
      <c r="F194" s="2">
        <f t="shared" si="107"/>
        <v>0</v>
      </c>
      <c r="G194" s="3">
        <f>G193</f>
        <v>7883</v>
      </c>
      <c r="H194" s="3">
        <v>0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  <c r="N194" s="3">
        <v>0</v>
      </c>
      <c r="O194" s="73"/>
      <c r="P194" s="4"/>
    </row>
    <row r="195" spans="1:16" ht="15.75">
      <c r="A195" s="71"/>
      <c r="B195" s="96"/>
      <c r="C195" s="87"/>
      <c r="D195" s="1" t="s">
        <v>101</v>
      </c>
      <c r="E195" s="2">
        <f t="shared" si="106"/>
        <v>7883</v>
      </c>
      <c r="F195" s="2">
        <f t="shared" si="107"/>
        <v>0</v>
      </c>
      <c r="G195" s="3">
        <f>G194</f>
        <v>7883</v>
      </c>
      <c r="H195" s="3">
        <v>0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3">
        <v>0</v>
      </c>
      <c r="O195" s="73"/>
      <c r="P195" s="4"/>
    </row>
    <row r="196" spans="1:16" ht="15.75" customHeight="1">
      <c r="A196" s="71"/>
      <c r="B196" s="96" t="s">
        <v>61</v>
      </c>
      <c r="D196" s="1" t="s">
        <v>11</v>
      </c>
      <c r="E196" s="2">
        <f>SUM(E197:E207)</f>
        <v>2308.9</v>
      </c>
      <c r="F196" s="2">
        <f aca="true" t="shared" si="108" ref="F196:N196">SUM(F197:F207)</f>
        <v>968.9</v>
      </c>
      <c r="G196" s="2">
        <f t="shared" si="108"/>
        <v>1515.9</v>
      </c>
      <c r="H196" s="2">
        <f t="shared" si="108"/>
        <v>175.89999999999998</v>
      </c>
      <c r="I196" s="2">
        <f t="shared" si="108"/>
        <v>0</v>
      </c>
      <c r="J196" s="2">
        <f t="shared" si="108"/>
        <v>0</v>
      </c>
      <c r="K196" s="2">
        <f t="shared" si="108"/>
        <v>0</v>
      </c>
      <c r="L196" s="2">
        <f t="shared" si="108"/>
        <v>0</v>
      </c>
      <c r="M196" s="2">
        <f t="shared" si="108"/>
        <v>793</v>
      </c>
      <c r="N196" s="2">
        <f t="shared" si="108"/>
        <v>793</v>
      </c>
      <c r="O196" s="73"/>
      <c r="P196" s="4"/>
    </row>
    <row r="197" spans="1:16" s="26" customFormat="1" ht="43.5" customHeight="1">
      <c r="A197" s="71"/>
      <c r="B197" s="96"/>
      <c r="C197" s="1" t="s">
        <v>77</v>
      </c>
      <c r="D197" s="1" t="s">
        <v>12</v>
      </c>
      <c r="E197" s="2">
        <f aca="true" t="shared" si="109" ref="E197:F200">G197+I197+K197+M197</f>
        <v>620</v>
      </c>
      <c r="F197" s="2">
        <f t="shared" si="109"/>
        <v>180</v>
      </c>
      <c r="G197" s="3">
        <f>440+H197</f>
        <v>440</v>
      </c>
      <c r="H197" s="3">
        <v>0</v>
      </c>
      <c r="I197" s="3">
        <v>0</v>
      </c>
      <c r="J197" s="3">
        <v>0</v>
      </c>
      <c r="K197" s="3">
        <v>0</v>
      </c>
      <c r="L197" s="3">
        <v>0</v>
      </c>
      <c r="M197" s="3">
        <v>180</v>
      </c>
      <c r="N197" s="3">
        <f>M197</f>
        <v>180</v>
      </c>
      <c r="O197" s="73"/>
      <c r="P197" s="37"/>
    </row>
    <row r="198" spans="1:16" ht="15" customHeight="1">
      <c r="A198" s="71"/>
      <c r="B198" s="96"/>
      <c r="C198" s="70" t="s">
        <v>63</v>
      </c>
      <c r="D198" s="1" t="s">
        <v>13</v>
      </c>
      <c r="E198" s="2">
        <f t="shared" si="109"/>
        <v>256.9</v>
      </c>
      <c r="F198" s="2">
        <f t="shared" si="109"/>
        <v>256.9</v>
      </c>
      <c r="G198" s="3">
        <f>H198</f>
        <v>99.6</v>
      </c>
      <c r="H198" s="3">
        <v>99.6</v>
      </c>
      <c r="I198" s="3">
        <v>0</v>
      </c>
      <c r="J198" s="3">
        <v>0</v>
      </c>
      <c r="K198" s="3">
        <v>0</v>
      </c>
      <c r="L198" s="3">
        <v>0</v>
      </c>
      <c r="M198" s="3">
        <v>157.3</v>
      </c>
      <c r="N198" s="3">
        <f>M198</f>
        <v>157.3</v>
      </c>
      <c r="O198" s="73"/>
      <c r="P198" s="4"/>
    </row>
    <row r="199" spans="1:16" ht="15" customHeight="1">
      <c r="A199" s="71"/>
      <c r="B199" s="96"/>
      <c r="C199" s="71"/>
      <c r="D199" s="1" t="s">
        <v>14</v>
      </c>
      <c r="E199" s="2">
        <f t="shared" si="109"/>
        <v>287.5</v>
      </c>
      <c r="F199" s="2">
        <f t="shared" si="109"/>
        <v>287.5</v>
      </c>
      <c r="G199" s="3">
        <f>H199</f>
        <v>76.3</v>
      </c>
      <c r="H199" s="3">
        <v>76.3</v>
      </c>
      <c r="I199" s="3">
        <v>0</v>
      </c>
      <c r="J199" s="3">
        <v>0</v>
      </c>
      <c r="K199" s="3">
        <v>0</v>
      </c>
      <c r="L199" s="3">
        <v>0</v>
      </c>
      <c r="M199" s="3">
        <f>N199</f>
        <v>211.2</v>
      </c>
      <c r="N199" s="3">
        <v>211.2</v>
      </c>
      <c r="O199" s="73"/>
      <c r="P199" s="4"/>
    </row>
    <row r="200" spans="1:16" ht="15.75">
      <c r="A200" s="71"/>
      <c r="B200" s="96"/>
      <c r="C200" s="71"/>
      <c r="D200" s="1" t="s">
        <v>15</v>
      </c>
      <c r="E200" s="2">
        <f t="shared" si="109"/>
        <v>1144.5</v>
      </c>
      <c r="F200" s="2">
        <f t="shared" si="109"/>
        <v>244.5</v>
      </c>
      <c r="G200" s="3">
        <v>900</v>
      </c>
      <c r="H200" s="3">
        <v>0</v>
      </c>
      <c r="I200" s="3">
        <v>0</v>
      </c>
      <c r="J200" s="3">
        <v>0</v>
      </c>
      <c r="K200" s="3">
        <v>0</v>
      </c>
      <c r="L200" s="3">
        <v>0</v>
      </c>
      <c r="M200" s="3">
        <v>244.5</v>
      </c>
      <c r="N200" s="3">
        <v>244.5</v>
      </c>
      <c r="O200" s="73"/>
      <c r="P200" s="4"/>
    </row>
    <row r="201" spans="1:16" ht="15" customHeight="1">
      <c r="A201" s="71"/>
      <c r="B201" s="96"/>
      <c r="C201" s="43"/>
      <c r="D201" s="1" t="s">
        <v>16</v>
      </c>
      <c r="E201" s="75" t="s">
        <v>121</v>
      </c>
      <c r="F201" s="76"/>
      <c r="G201" s="76"/>
      <c r="H201" s="76"/>
      <c r="I201" s="76"/>
      <c r="J201" s="76"/>
      <c r="K201" s="76"/>
      <c r="L201" s="76"/>
      <c r="M201" s="76"/>
      <c r="N201" s="77"/>
      <c r="O201" s="73"/>
      <c r="P201" s="4"/>
    </row>
    <row r="202" spans="1:16" ht="15" hidden="1">
      <c r="A202" s="71"/>
      <c r="B202" s="96"/>
      <c r="C202" s="43"/>
      <c r="D202" s="1" t="s">
        <v>17</v>
      </c>
      <c r="E202" s="2"/>
      <c r="F202" s="2"/>
      <c r="G202" s="3"/>
      <c r="H202" s="3"/>
      <c r="I202" s="3"/>
      <c r="J202" s="3"/>
      <c r="K202" s="3"/>
      <c r="L202" s="3"/>
      <c r="M202" s="3"/>
      <c r="N202" s="3"/>
      <c r="O202" s="73"/>
      <c r="P202" s="4"/>
    </row>
    <row r="203" spans="1:16" ht="15" hidden="1">
      <c r="A203" s="71"/>
      <c r="B203" s="96"/>
      <c r="C203" s="43"/>
      <c r="D203" s="1" t="s">
        <v>97</v>
      </c>
      <c r="E203" s="2"/>
      <c r="F203" s="2"/>
      <c r="G203" s="3"/>
      <c r="H203" s="3"/>
      <c r="I203" s="3"/>
      <c r="J203" s="3"/>
      <c r="K203" s="3"/>
      <c r="L203" s="3"/>
      <c r="M203" s="3"/>
      <c r="N203" s="3"/>
      <c r="O203" s="73"/>
      <c r="P203" s="4"/>
    </row>
    <row r="204" spans="1:16" ht="15" hidden="1">
      <c r="A204" s="71"/>
      <c r="B204" s="96"/>
      <c r="C204" s="43"/>
      <c r="D204" s="1" t="s">
        <v>98</v>
      </c>
      <c r="E204" s="2"/>
      <c r="F204" s="2"/>
      <c r="G204" s="3"/>
      <c r="H204" s="3"/>
      <c r="I204" s="3"/>
      <c r="J204" s="3"/>
      <c r="K204" s="3"/>
      <c r="L204" s="3"/>
      <c r="M204" s="3"/>
      <c r="N204" s="3"/>
      <c r="O204" s="73"/>
      <c r="P204" s="4"/>
    </row>
    <row r="205" spans="1:16" ht="15" hidden="1">
      <c r="A205" s="71"/>
      <c r="B205" s="96"/>
      <c r="C205" s="43"/>
      <c r="D205" s="1" t="s">
        <v>99</v>
      </c>
      <c r="E205" s="2"/>
      <c r="F205" s="2"/>
      <c r="G205" s="3"/>
      <c r="H205" s="3"/>
      <c r="I205" s="3"/>
      <c r="J205" s="3"/>
      <c r="K205" s="3"/>
      <c r="L205" s="3"/>
      <c r="M205" s="3"/>
      <c r="N205" s="3"/>
      <c r="O205" s="73"/>
      <c r="P205" s="4"/>
    </row>
    <row r="206" spans="1:16" ht="15" hidden="1">
      <c r="A206" s="71"/>
      <c r="B206" s="96"/>
      <c r="C206" s="43"/>
      <c r="D206" s="1" t="s">
        <v>100</v>
      </c>
      <c r="E206" s="2"/>
      <c r="F206" s="2"/>
      <c r="G206" s="3"/>
      <c r="H206" s="3"/>
      <c r="I206" s="3"/>
      <c r="J206" s="3"/>
      <c r="K206" s="3"/>
      <c r="L206" s="3"/>
      <c r="M206" s="3"/>
      <c r="N206" s="3"/>
      <c r="O206" s="73"/>
      <c r="P206" s="4"/>
    </row>
    <row r="207" spans="1:16" ht="15" hidden="1">
      <c r="A207" s="71"/>
      <c r="B207" s="96"/>
      <c r="C207" s="44"/>
      <c r="D207" s="1" t="s">
        <v>101</v>
      </c>
      <c r="E207" s="2"/>
      <c r="F207" s="2"/>
      <c r="G207" s="3"/>
      <c r="H207" s="3"/>
      <c r="I207" s="3"/>
      <c r="J207" s="3"/>
      <c r="K207" s="3"/>
      <c r="L207" s="3"/>
      <c r="M207" s="3"/>
      <c r="N207" s="3"/>
      <c r="O207" s="73"/>
      <c r="P207" s="4"/>
    </row>
    <row r="208" spans="1:16" s="12" customFormat="1" ht="15.75">
      <c r="A208" s="71"/>
      <c r="B208" s="96" t="s">
        <v>113</v>
      </c>
      <c r="C208" s="70" t="s">
        <v>56</v>
      </c>
      <c r="D208" s="10" t="s">
        <v>11</v>
      </c>
      <c r="E208" s="2">
        <f aca="true" t="shared" si="110" ref="E208:N208">SUM(E209:E214)</f>
        <v>2350</v>
      </c>
      <c r="F208" s="2">
        <f t="shared" si="110"/>
        <v>100</v>
      </c>
      <c r="G208" s="2">
        <f t="shared" si="110"/>
        <v>2250</v>
      </c>
      <c r="H208" s="2">
        <f t="shared" si="110"/>
        <v>0</v>
      </c>
      <c r="I208" s="2">
        <f t="shared" si="110"/>
        <v>0</v>
      </c>
      <c r="J208" s="2">
        <f t="shared" si="110"/>
        <v>0</v>
      </c>
      <c r="K208" s="2">
        <f t="shared" si="110"/>
        <v>0</v>
      </c>
      <c r="L208" s="2">
        <f t="shared" si="110"/>
        <v>0</v>
      </c>
      <c r="M208" s="2">
        <f t="shared" si="110"/>
        <v>100</v>
      </c>
      <c r="N208" s="2">
        <f t="shared" si="110"/>
        <v>100</v>
      </c>
      <c r="O208" s="73"/>
      <c r="P208" s="4"/>
    </row>
    <row r="209" spans="1:16" s="26" customFormat="1" ht="54.75" customHeight="1">
      <c r="A209" s="71"/>
      <c r="B209" s="96"/>
      <c r="C209" s="71"/>
      <c r="D209" s="1" t="s">
        <v>12</v>
      </c>
      <c r="E209" s="2">
        <f>G209+I209+K209+M209</f>
        <v>2350</v>
      </c>
      <c r="F209" s="2">
        <f>H209+J209+L209+N209</f>
        <v>100</v>
      </c>
      <c r="G209" s="3">
        <v>2250</v>
      </c>
      <c r="H209" s="3">
        <v>0</v>
      </c>
      <c r="I209" s="3">
        <v>0</v>
      </c>
      <c r="J209" s="3">
        <v>0</v>
      </c>
      <c r="K209" s="3">
        <v>0</v>
      </c>
      <c r="L209" s="3">
        <v>0</v>
      </c>
      <c r="M209" s="3">
        <v>100</v>
      </c>
      <c r="N209" s="3">
        <f>M209</f>
        <v>100</v>
      </c>
      <c r="O209" s="73"/>
      <c r="P209" s="37"/>
    </row>
    <row r="210" spans="1:16" ht="36" customHeight="1">
      <c r="A210" s="71"/>
      <c r="B210" s="96"/>
      <c r="C210" s="87"/>
      <c r="D210" s="1" t="s">
        <v>13</v>
      </c>
      <c r="E210" s="75" t="s">
        <v>108</v>
      </c>
      <c r="F210" s="76"/>
      <c r="G210" s="76"/>
      <c r="H210" s="76"/>
      <c r="I210" s="76"/>
      <c r="J210" s="76"/>
      <c r="K210" s="76"/>
      <c r="L210" s="76"/>
      <c r="M210" s="76"/>
      <c r="N210" s="77"/>
      <c r="O210" s="73"/>
      <c r="P210" s="4"/>
    </row>
    <row r="211" spans="1:16" ht="15" hidden="1">
      <c r="A211" s="71"/>
      <c r="B211" s="96"/>
      <c r="C211" s="1"/>
      <c r="D211" s="1" t="s">
        <v>14</v>
      </c>
      <c r="E211" s="78"/>
      <c r="F211" s="79"/>
      <c r="G211" s="79"/>
      <c r="H211" s="79"/>
      <c r="I211" s="79"/>
      <c r="J211" s="79"/>
      <c r="K211" s="79"/>
      <c r="L211" s="79"/>
      <c r="M211" s="79"/>
      <c r="N211" s="80"/>
      <c r="O211" s="73"/>
      <c r="P211" s="4"/>
    </row>
    <row r="212" spans="1:16" ht="15" hidden="1">
      <c r="A212" s="71"/>
      <c r="B212" s="96"/>
      <c r="C212" s="1"/>
      <c r="D212" s="1" t="s">
        <v>15</v>
      </c>
      <c r="E212" s="78"/>
      <c r="F212" s="79"/>
      <c r="G212" s="79"/>
      <c r="H212" s="79"/>
      <c r="I212" s="79"/>
      <c r="J212" s="79"/>
      <c r="K212" s="79"/>
      <c r="L212" s="79"/>
      <c r="M212" s="79"/>
      <c r="N212" s="80"/>
      <c r="O212" s="73"/>
      <c r="P212" s="4"/>
    </row>
    <row r="213" spans="1:16" ht="15" hidden="1">
      <c r="A213" s="71"/>
      <c r="B213" s="96"/>
      <c r="C213" s="1"/>
      <c r="D213" s="1" t="s">
        <v>16</v>
      </c>
      <c r="E213" s="78"/>
      <c r="F213" s="79"/>
      <c r="G213" s="79"/>
      <c r="H213" s="79"/>
      <c r="I213" s="79"/>
      <c r="J213" s="79"/>
      <c r="K213" s="79"/>
      <c r="L213" s="79"/>
      <c r="M213" s="79"/>
      <c r="N213" s="80"/>
      <c r="O213" s="73"/>
      <c r="P213" s="4"/>
    </row>
    <row r="214" spans="1:16" ht="15" hidden="1">
      <c r="A214" s="71"/>
      <c r="B214" s="96"/>
      <c r="C214" s="1"/>
      <c r="D214" s="1" t="s">
        <v>17</v>
      </c>
      <c r="E214" s="81"/>
      <c r="F214" s="82"/>
      <c r="G214" s="82"/>
      <c r="H214" s="82"/>
      <c r="I214" s="82"/>
      <c r="J214" s="82"/>
      <c r="K214" s="82"/>
      <c r="L214" s="82"/>
      <c r="M214" s="82"/>
      <c r="N214" s="83"/>
      <c r="O214" s="73"/>
      <c r="P214" s="4"/>
    </row>
    <row r="215" spans="1:16" s="12" customFormat="1" ht="15.75">
      <c r="A215" s="71"/>
      <c r="B215" s="96" t="s">
        <v>114</v>
      </c>
      <c r="C215" s="70" t="s">
        <v>56</v>
      </c>
      <c r="D215" s="10" t="s">
        <v>11</v>
      </c>
      <c r="E215" s="2">
        <f>SUM(E216:E221)</f>
        <v>511.8</v>
      </c>
      <c r="F215" s="2">
        <f aca="true" t="shared" si="111" ref="F215:N215">SUM(F216:F221)</f>
        <v>141.4</v>
      </c>
      <c r="G215" s="2">
        <f t="shared" si="111"/>
        <v>220</v>
      </c>
      <c r="H215" s="2">
        <f t="shared" si="111"/>
        <v>29.6</v>
      </c>
      <c r="I215" s="2">
        <f t="shared" si="111"/>
        <v>0</v>
      </c>
      <c r="J215" s="2">
        <f t="shared" si="111"/>
        <v>0</v>
      </c>
      <c r="K215" s="2">
        <f t="shared" si="111"/>
        <v>180</v>
      </c>
      <c r="L215" s="2">
        <f t="shared" si="111"/>
        <v>0</v>
      </c>
      <c r="M215" s="2">
        <f t="shared" si="111"/>
        <v>111.8</v>
      </c>
      <c r="N215" s="2">
        <f t="shared" si="111"/>
        <v>111.8</v>
      </c>
      <c r="O215" s="73"/>
      <c r="P215" s="4"/>
    </row>
    <row r="216" spans="1:16" s="26" customFormat="1" ht="57" customHeight="1">
      <c r="A216" s="71"/>
      <c r="B216" s="96"/>
      <c r="C216" s="71"/>
      <c r="D216" s="1" t="s">
        <v>12</v>
      </c>
      <c r="E216" s="2">
        <f>G216+I216+K216+M216</f>
        <v>511.8</v>
      </c>
      <c r="F216" s="2">
        <f>H216+J216+L216+N216</f>
        <v>141.4</v>
      </c>
      <c r="G216" s="3">
        <v>220</v>
      </c>
      <c r="H216" s="3">
        <v>29.6</v>
      </c>
      <c r="I216" s="3">
        <v>0</v>
      </c>
      <c r="J216" s="3">
        <v>0</v>
      </c>
      <c r="K216" s="3">
        <v>180</v>
      </c>
      <c r="L216" s="3">
        <v>0</v>
      </c>
      <c r="M216" s="3">
        <v>111.8</v>
      </c>
      <c r="N216" s="3">
        <f>M216</f>
        <v>111.8</v>
      </c>
      <c r="O216" s="73"/>
      <c r="P216" s="37"/>
    </row>
    <row r="217" spans="1:16" ht="71.25" customHeight="1">
      <c r="A217" s="71"/>
      <c r="B217" s="96"/>
      <c r="C217" s="87"/>
      <c r="D217" s="1" t="s">
        <v>13</v>
      </c>
      <c r="E217" s="75" t="s">
        <v>108</v>
      </c>
      <c r="F217" s="76"/>
      <c r="G217" s="76"/>
      <c r="H217" s="76"/>
      <c r="I217" s="76"/>
      <c r="J217" s="76"/>
      <c r="K217" s="76"/>
      <c r="L217" s="76"/>
      <c r="M217" s="76"/>
      <c r="N217" s="77"/>
      <c r="O217" s="73"/>
      <c r="P217" s="4"/>
    </row>
    <row r="218" spans="1:16" ht="15" hidden="1">
      <c r="A218" s="71"/>
      <c r="B218" s="96"/>
      <c r="C218" s="1"/>
      <c r="D218" s="1" t="s">
        <v>14</v>
      </c>
      <c r="E218" s="78"/>
      <c r="F218" s="79"/>
      <c r="G218" s="79"/>
      <c r="H218" s="79"/>
      <c r="I218" s="79"/>
      <c r="J218" s="79"/>
      <c r="K218" s="79"/>
      <c r="L218" s="79"/>
      <c r="M218" s="79"/>
      <c r="N218" s="80"/>
      <c r="O218" s="73"/>
      <c r="P218" s="4"/>
    </row>
    <row r="219" spans="1:16" ht="15" hidden="1">
      <c r="A219" s="71"/>
      <c r="B219" s="96"/>
      <c r="C219" s="1"/>
      <c r="D219" s="1" t="s">
        <v>15</v>
      </c>
      <c r="E219" s="78"/>
      <c r="F219" s="79"/>
      <c r="G219" s="79"/>
      <c r="H219" s="79"/>
      <c r="I219" s="79"/>
      <c r="J219" s="79"/>
      <c r="K219" s="79"/>
      <c r="L219" s="79"/>
      <c r="M219" s="79"/>
      <c r="N219" s="80"/>
      <c r="O219" s="73"/>
      <c r="P219" s="4"/>
    </row>
    <row r="220" spans="1:16" ht="15" hidden="1">
      <c r="A220" s="71"/>
      <c r="B220" s="96"/>
      <c r="C220" s="1"/>
      <c r="D220" s="1" t="s">
        <v>16</v>
      </c>
      <c r="E220" s="78"/>
      <c r="F220" s="79"/>
      <c r="G220" s="79"/>
      <c r="H220" s="79"/>
      <c r="I220" s="79"/>
      <c r="J220" s="79"/>
      <c r="K220" s="79"/>
      <c r="L220" s="79"/>
      <c r="M220" s="79"/>
      <c r="N220" s="80"/>
      <c r="O220" s="73"/>
      <c r="P220" s="4"/>
    </row>
    <row r="221" spans="1:16" ht="15" hidden="1">
      <c r="A221" s="71"/>
      <c r="B221" s="96"/>
      <c r="C221" s="1"/>
      <c r="D221" s="1" t="s">
        <v>17</v>
      </c>
      <c r="E221" s="81"/>
      <c r="F221" s="82"/>
      <c r="G221" s="82"/>
      <c r="H221" s="82"/>
      <c r="I221" s="82"/>
      <c r="J221" s="82"/>
      <c r="K221" s="82"/>
      <c r="L221" s="82"/>
      <c r="M221" s="82"/>
      <c r="N221" s="83"/>
      <c r="O221" s="73"/>
      <c r="P221" s="4"/>
    </row>
    <row r="222" spans="1:16" s="12" customFormat="1" ht="15.75">
      <c r="A222" s="71"/>
      <c r="B222" s="96" t="s">
        <v>115</v>
      </c>
      <c r="C222" s="70" t="s">
        <v>56</v>
      </c>
      <c r="D222" s="10" t="s">
        <v>11</v>
      </c>
      <c r="E222" s="2">
        <f>SUM(E223:E228)</f>
        <v>1300</v>
      </c>
      <c r="F222" s="2">
        <f aca="true" t="shared" si="112" ref="F222:N222">SUM(F223:F228)</f>
        <v>600</v>
      </c>
      <c r="G222" s="2">
        <f t="shared" si="112"/>
        <v>500</v>
      </c>
      <c r="H222" s="2">
        <f t="shared" si="112"/>
        <v>0</v>
      </c>
      <c r="I222" s="2">
        <f t="shared" si="112"/>
        <v>0</v>
      </c>
      <c r="J222" s="2">
        <f t="shared" si="112"/>
        <v>0</v>
      </c>
      <c r="K222" s="2">
        <f t="shared" si="112"/>
        <v>200</v>
      </c>
      <c r="L222" s="2">
        <f t="shared" si="112"/>
        <v>0</v>
      </c>
      <c r="M222" s="2">
        <f>SUM(M223:M228)</f>
        <v>600</v>
      </c>
      <c r="N222" s="2">
        <f t="shared" si="112"/>
        <v>600</v>
      </c>
      <c r="O222" s="73"/>
      <c r="P222" s="4"/>
    </row>
    <row r="223" spans="1:16" s="26" customFormat="1" ht="48" customHeight="1">
      <c r="A223" s="71"/>
      <c r="B223" s="96"/>
      <c r="C223" s="71"/>
      <c r="D223" s="1" t="s">
        <v>12</v>
      </c>
      <c r="E223" s="2">
        <f>G223+I223+K223+M223</f>
        <v>1300</v>
      </c>
      <c r="F223" s="2">
        <f>H223+J223+L223+N223</f>
        <v>600</v>
      </c>
      <c r="G223" s="3">
        <f>500+H223</f>
        <v>500</v>
      </c>
      <c r="H223" s="3">
        <v>0</v>
      </c>
      <c r="I223" s="3">
        <v>0</v>
      </c>
      <c r="J223" s="3">
        <v>0</v>
      </c>
      <c r="K223" s="3">
        <v>200</v>
      </c>
      <c r="L223" s="3">
        <v>0</v>
      </c>
      <c r="M223" s="3">
        <v>600</v>
      </c>
      <c r="N223" s="3">
        <f>M223</f>
        <v>600</v>
      </c>
      <c r="O223" s="73"/>
      <c r="P223" s="37"/>
    </row>
    <row r="224" spans="1:16" ht="93" customHeight="1">
      <c r="A224" s="71"/>
      <c r="B224" s="96"/>
      <c r="C224" s="87"/>
      <c r="D224" s="1" t="s">
        <v>13</v>
      </c>
      <c r="E224" s="75" t="s">
        <v>108</v>
      </c>
      <c r="F224" s="76"/>
      <c r="G224" s="76"/>
      <c r="H224" s="76"/>
      <c r="I224" s="76"/>
      <c r="J224" s="76"/>
      <c r="K224" s="76"/>
      <c r="L224" s="76"/>
      <c r="M224" s="76"/>
      <c r="N224" s="77"/>
      <c r="O224" s="73"/>
      <c r="P224" s="4"/>
    </row>
    <row r="225" spans="1:16" ht="15" hidden="1">
      <c r="A225" s="71"/>
      <c r="B225" s="96"/>
      <c r="C225" s="1"/>
      <c r="D225" s="1" t="s">
        <v>14</v>
      </c>
      <c r="E225" s="78"/>
      <c r="F225" s="79"/>
      <c r="G225" s="79"/>
      <c r="H225" s="79"/>
      <c r="I225" s="79"/>
      <c r="J225" s="79"/>
      <c r="K225" s="79"/>
      <c r="L225" s="79"/>
      <c r="M225" s="79"/>
      <c r="N225" s="80"/>
      <c r="O225" s="73"/>
      <c r="P225" s="4"/>
    </row>
    <row r="226" spans="1:16" ht="15" hidden="1">
      <c r="A226" s="71"/>
      <c r="B226" s="96"/>
      <c r="C226" s="1"/>
      <c r="D226" s="1" t="s">
        <v>15</v>
      </c>
      <c r="E226" s="78"/>
      <c r="F226" s="79"/>
      <c r="G226" s="79"/>
      <c r="H226" s="79"/>
      <c r="I226" s="79"/>
      <c r="J226" s="79"/>
      <c r="K226" s="79"/>
      <c r="L226" s="79"/>
      <c r="M226" s="79"/>
      <c r="N226" s="80"/>
      <c r="O226" s="73"/>
      <c r="P226" s="4"/>
    </row>
    <row r="227" spans="1:16" ht="15" hidden="1">
      <c r="A227" s="71"/>
      <c r="B227" s="96"/>
      <c r="C227" s="1"/>
      <c r="D227" s="1" t="s">
        <v>16</v>
      </c>
      <c r="E227" s="78"/>
      <c r="F227" s="79"/>
      <c r="G227" s="79"/>
      <c r="H227" s="79"/>
      <c r="I227" s="79"/>
      <c r="J227" s="79"/>
      <c r="K227" s="79"/>
      <c r="L227" s="79"/>
      <c r="M227" s="79"/>
      <c r="N227" s="80"/>
      <c r="O227" s="73"/>
      <c r="P227" s="4"/>
    </row>
    <row r="228" spans="1:16" ht="15" hidden="1">
      <c r="A228" s="71"/>
      <c r="B228" s="96"/>
      <c r="C228" s="1"/>
      <c r="D228" s="1" t="s">
        <v>17</v>
      </c>
      <c r="E228" s="81"/>
      <c r="F228" s="82"/>
      <c r="G228" s="82"/>
      <c r="H228" s="82"/>
      <c r="I228" s="82"/>
      <c r="J228" s="82"/>
      <c r="K228" s="82"/>
      <c r="L228" s="82"/>
      <c r="M228" s="82"/>
      <c r="N228" s="83"/>
      <c r="O228" s="73"/>
      <c r="P228" s="4"/>
    </row>
    <row r="229" spans="1:16" ht="15" hidden="1">
      <c r="A229" s="71"/>
      <c r="B229" s="96" t="s">
        <v>26</v>
      </c>
      <c r="C229" s="1"/>
      <c r="D229" s="1" t="s">
        <v>11</v>
      </c>
      <c r="E229" s="2">
        <f>SUM(E230:E235)</f>
        <v>0</v>
      </c>
      <c r="F229" s="2">
        <f aca="true" t="shared" si="113" ref="F229:N229">SUM(F230:F235)</f>
        <v>0</v>
      </c>
      <c r="G229" s="3">
        <f t="shared" si="113"/>
        <v>0</v>
      </c>
      <c r="H229" s="3">
        <f t="shared" si="113"/>
        <v>0</v>
      </c>
      <c r="I229" s="3">
        <f t="shared" si="113"/>
        <v>0</v>
      </c>
      <c r="J229" s="3">
        <f t="shared" si="113"/>
        <v>0</v>
      </c>
      <c r="K229" s="3">
        <f t="shared" si="113"/>
        <v>0</v>
      </c>
      <c r="L229" s="3">
        <f t="shared" si="113"/>
        <v>0</v>
      </c>
      <c r="M229" s="3">
        <f t="shared" si="113"/>
        <v>0</v>
      </c>
      <c r="N229" s="3">
        <f t="shared" si="113"/>
        <v>0</v>
      </c>
      <c r="O229" s="73"/>
      <c r="P229" s="4"/>
    </row>
    <row r="230" spans="1:16" s="35" customFormat="1" ht="15" hidden="1">
      <c r="A230" s="71"/>
      <c r="B230" s="96"/>
      <c r="C230" s="1"/>
      <c r="D230" s="1" t="s">
        <v>12</v>
      </c>
      <c r="E230" s="2">
        <f aca="true" t="shared" si="114" ref="E230:F235">G230+I230+K230+M230</f>
        <v>0</v>
      </c>
      <c r="F230" s="2">
        <f t="shared" si="114"/>
        <v>0</v>
      </c>
      <c r="G230" s="3"/>
      <c r="H230" s="3">
        <v>0</v>
      </c>
      <c r="I230" s="3">
        <v>0</v>
      </c>
      <c r="J230" s="3">
        <v>0</v>
      </c>
      <c r="K230" s="3">
        <v>0</v>
      </c>
      <c r="L230" s="3">
        <v>0</v>
      </c>
      <c r="M230" s="3">
        <f aca="true" t="shared" si="115" ref="M230:M235">N230</f>
        <v>0</v>
      </c>
      <c r="N230" s="3">
        <v>0</v>
      </c>
      <c r="O230" s="73"/>
      <c r="P230" s="37"/>
    </row>
    <row r="231" spans="1:16" s="38" customFormat="1" ht="15" hidden="1">
      <c r="A231" s="71"/>
      <c r="B231" s="96"/>
      <c r="C231" s="1"/>
      <c r="D231" s="1" t="s">
        <v>13</v>
      </c>
      <c r="E231" s="2">
        <f t="shared" si="114"/>
        <v>0</v>
      </c>
      <c r="F231" s="2">
        <f t="shared" si="114"/>
        <v>0</v>
      </c>
      <c r="G231" s="3">
        <v>0</v>
      </c>
      <c r="H231" s="3">
        <v>0</v>
      </c>
      <c r="I231" s="3">
        <v>0</v>
      </c>
      <c r="J231" s="3">
        <v>0</v>
      </c>
      <c r="K231" s="3">
        <v>0</v>
      </c>
      <c r="L231" s="3">
        <v>0</v>
      </c>
      <c r="M231" s="3">
        <f t="shared" si="115"/>
        <v>0</v>
      </c>
      <c r="N231" s="3">
        <v>0</v>
      </c>
      <c r="O231" s="73"/>
      <c r="P231" s="4"/>
    </row>
    <row r="232" spans="1:16" s="38" customFormat="1" ht="15" hidden="1">
      <c r="A232" s="71"/>
      <c r="B232" s="96"/>
      <c r="C232" s="1"/>
      <c r="D232" s="1" t="s">
        <v>14</v>
      </c>
      <c r="E232" s="2">
        <f t="shared" si="114"/>
        <v>0</v>
      </c>
      <c r="F232" s="2">
        <f t="shared" si="114"/>
        <v>0</v>
      </c>
      <c r="G232" s="3">
        <v>0</v>
      </c>
      <c r="H232" s="3">
        <v>0</v>
      </c>
      <c r="I232" s="3">
        <v>0</v>
      </c>
      <c r="J232" s="3">
        <v>0</v>
      </c>
      <c r="K232" s="3">
        <v>0</v>
      </c>
      <c r="L232" s="3">
        <v>0</v>
      </c>
      <c r="M232" s="3">
        <f t="shared" si="115"/>
        <v>0</v>
      </c>
      <c r="N232" s="3">
        <v>0</v>
      </c>
      <c r="O232" s="73"/>
      <c r="P232" s="4"/>
    </row>
    <row r="233" spans="1:16" s="38" customFormat="1" ht="15" hidden="1">
      <c r="A233" s="71"/>
      <c r="B233" s="96"/>
      <c r="C233" s="1"/>
      <c r="D233" s="1" t="s">
        <v>15</v>
      </c>
      <c r="E233" s="2">
        <f t="shared" si="114"/>
        <v>0</v>
      </c>
      <c r="F233" s="2">
        <f t="shared" si="114"/>
        <v>0</v>
      </c>
      <c r="G233" s="3">
        <v>0</v>
      </c>
      <c r="H233" s="3">
        <v>0</v>
      </c>
      <c r="I233" s="3">
        <v>0</v>
      </c>
      <c r="J233" s="3">
        <v>0</v>
      </c>
      <c r="K233" s="3">
        <v>0</v>
      </c>
      <c r="L233" s="3">
        <v>0</v>
      </c>
      <c r="M233" s="3">
        <f t="shared" si="115"/>
        <v>0</v>
      </c>
      <c r="N233" s="3">
        <v>0</v>
      </c>
      <c r="O233" s="73"/>
      <c r="P233" s="4"/>
    </row>
    <row r="234" spans="1:16" s="38" customFormat="1" ht="15" hidden="1">
      <c r="A234" s="71"/>
      <c r="B234" s="96"/>
      <c r="C234" s="1"/>
      <c r="D234" s="1" t="s">
        <v>16</v>
      </c>
      <c r="E234" s="2">
        <f t="shared" si="114"/>
        <v>0</v>
      </c>
      <c r="F234" s="2">
        <f t="shared" si="114"/>
        <v>0</v>
      </c>
      <c r="G234" s="3">
        <v>0</v>
      </c>
      <c r="H234" s="3">
        <v>0</v>
      </c>
      <c r="I234" s="3">
        <v>0</v>
      </c>
      <c r="J234" s="3">
        <v>0</v>
      </c>
      <c r="K234" s="3">
        <v>0</v>
      </c>
      <c r="L234" s="3">
        <v>0</v>
      </c>
      <c r="M234" s="3">
        <f t="shared" si="115"/>
        <v>0</v>
      </c>
      <c r="N234" s="3">
        <v>0</v>
      </c>
      <c r="O234" s="73"/>
      <c r="P234" s="4"/>
    </row>
    <row r="235" spans="1:16" s="38" customFormat="1" ht="15" hidden="1">
      <c r="A235" s="71"/>
      <c r="B235" s="96"/>
      <c r="C235" s="1"/>
      <c r="D235" s="1" t="s">
        <v>17</v>
      </c>
      <c r="E235" s="2">
        <f t="shared" si="114"/>
        <v>0</v>
      </c>
      <c r="F235" s="2">
        <f t="shared" si="114"/>
        <v>0</v>
      </c>
      <c r="G235" s="3">
        <v>0</v>
      </c>
      <c r="H235" s="3">
        <v>0</v>
      </c>
      <c r="I235" s="3">
        <v>0</v>
      </c>
      <c r="J235" s="3">
        <v>0</v>
      </c>
      <c r="K235" s="3">
        <v>0</v>
      </c>
      <c r="L235" s="3">
        <v>0</v>
      </c>
      <c r="M235" s="3">
        <f t="shared" si="115"/>
        <v>0</v>
      </c>
      <c r="N235" s="3">
        <v>0</v>
      </c>
      <c r="O235" s="73"/>
      <c r="P235" s="4"/>
    </row>
    <row r="236" spans="1:16" s="39" customFormat="1" ht="15.75">
      <c r="A236" s="71"/>
      <c r="B236" s="95" t="s">
        <v>36</v>
      </c>
      <c r="C236" s="20"/>
      <c r="D236" s="10" t="s">
        <v>11</v>
      </c>
      <c r="E236" s="2">
        <f>SUM(E237:E247)</f>
        <v>9119</v>
      </c>
      <c r="F236" s="2">
        <f aca="true" t="shared" si="116" ref="F236:N236">SUM(F237:F247)</f>
        <v>1779</v>
      </c>
      <c r="G236" s="2">
        <f t="shared" si="116"/>
        <v>9030</v>
      </c>
      <c r="H236" s="2">
        <f t="shared" si="116"/>
        <v>1690</v>
      </c>
      <c r="I236" s="2">
        <f t="shared" si="116"/>
        <v>0</v>
      </c>
      <c r="J236" s="2">
        <f t="shared" si="116"/>
        <v>0</v>
      </c>
      <c r="K236" s="2">
        <f t="shared" si="116"/>
        <v>0</v>
      </c>
      <c r="L236" s="2">
        <f t="shared" si="116"/>
        <v>0</v>
      </c>
      <c r="M236" s="2">
        <f t="shared" si="116"/>
        <v>89</v>
      </c>
      <c r="N236" s="2">
        <f t="shared" si="116"/>
        <v>89</v>
      </c>
      <c r="O236" s="73"/>
      <c r="P236" s="4"/>
    </row>
    <row r="237" spans="1:16" s="26" customFormat="1" ht="38.25">
      <c r="A237" s="71"/>
      <c r="B237" s="95"/>
      <c r="C237" s="1" t="s">
        <v>78</v>
      </c>
      <c r="D237" s="1" t="s">
        <v>12</v>
      </c>
      <c r="E237" s="2">
        <f aca="true" t="shared" si="117" ref="E237:F241">G237+I237+K237+M237</f>
        <v>195</v>
      </c>
      <c r="F237" s="2">
        <f t="shared" si="117"/>
        <v>89</v>
      </c>
      <c r="G237" s="3">
        <v>106</v>
      </c>
      <c r="H237" s="3">
        <v>0</v>
      </c>
      <c r="I237" s="3">
        <v>0</v>
      </c>
      <c r="J237" s="3">
        <v>0</v>
      </c>
      <c r="K237" s="3">
        <v>0</v>
      </c>
      <c r="L237" s="3">
        <v>0</v>
      </c>
      <c r="M237" s="3">
        <v>89</v>
      </c>
      <c r="N237" s="3">
        <f>M237</f>
        <v>89</v>
      </c>
      <c r="O237" s="73"/>
      <c r="P237" s="37"/>
    </row>
    <row r="238" spans="1:16" ht="15" customHeight="1">
      <c r="A238" s="71"/>
      <c r="B238" s="95"/>
      <c r="C238" s="70" t="s">
        <v>57</v>
      </c>
      <c r="D238" s="1" t="s">
        <v>13</v>
      </c>
      <c r="E238" s="2">
        <f t="shared" si="117"/>
        <v>1160</v>
      </c>
      <c r="F238" s="2">
        <f t="shared" si="117"/>
        <v>1160</v>
      </c>
      <c r="G238" s="3">
        <f>H238</f>
        <v>1160</v>
      </c>
      <c r="H238" s="3">
        <f>666+560-66</f>
        <v>1160</v>
      </c>
      <c r="I238" s="3">
        <v>0</v>
      </c>
      <c r="J238" s="3">
        <v>0</v>
      </c>
      <c r="K238" s="3">
        <v>0</v>
      </c>
      <c r="L238" s="3">
        <v>0</v>
      </c>
      <c r="M238" s="3">
        <v>0</v>
      </c>
      <c r="N238" s="3">
        <v>0</v>
      </c>
      <c r="O238" s="73"/>
      <c r="P238" s="4"/>
    </row>
    <row r="239" spans="1:16" ht="15" customHeight="1">
      <c r="A239" s="71"/>
      <c r="B239" s="95"/>
      <c r="C239" s="71"/>
      <c r="D239" s="1" t="s">
        <v>14</v>
      </c>
      <c r="E239" s="2">
        <f t="shared" si="117"/>
        <v>106</v>
      </c>
      <c r="F239" s="2">
        <f t="shared" si="117"/>
        <v>106</v>
      </c>
      <c r="G239" s="3">
        <f>H239</f>
        <v>106</v>
      </c>
      <c r="H239" s="3">
        <v>106</v>
      </c>
      <c r="I239" s="3">
        <v>0</v>
      </c>
      <c r="J239" s="3">
        <v>0</v>
      </c>
      <c r="K239" s="3">
        <v>0</v>
      </c>
      <c r="L239" s="3">
        <v>0</v>
      </c>
      <c r="M239" s="3">
        <v>0</v>
      </c>
      <c r="N239" s="3">
        <v>0</v>
      </c>
      <c r="O239" s="73"/>
      <c r="P239" s="4"/>
    </row>
    <row r="240" spans="1:16" ht="15.75">
      <c r="A240" s="71"/>
      <c r="B240" s="95"/>
      <c r="C240" s="71"/>
      <c r="D240" s="1" t="s">
        <v>15</v>
      </c>
      <c r="E240" s="2">
        <f t="shared" si="117"/>
        <v>106</v>
      </c>
      <c r="F240" s="2">
        <f t="shared" si="117"/>
        <v>0</v>
      </c>
      <c r="G240" s="3">
        <v>106</v>
      </c>
      <c r="H240" s="3">
        <f>106-106</f>
        <v>0</v>
      </c>
      <c r="I240" s="3">
        <v>0</v>
      </c>
      <c r="J240" s="3">
        <v>0</v>
      </c>
      <c r="K240" s="3">
        <v>0</v>
      </c>
      <c r="L240" s="3">
        <v>0</v>
      </c>
      <c r="M240" s="3">
        <v>0</v>
      </c>
      <c r="N240" s="3">
        <v>0</v>
      </c>
      <c r="O240" s="73"/>
      <c r="P240" s="4"/>
    </row>
    <row r="241" spans="1:16" ht="15.75">
      <c r="A241" s="71"/>
      <c r="B241" s="95"/>
      <c r="C241" s="71"/>
      <c r="D241" s="1" t="s">
        <v>16</v>
      </c>
      <c r="E241" s="2">
        <f t="shared" si="117"/>
        <v>106</v>
      </c>
      <c r="F241" s="2">
        <f t="shared" si="117"/>
        <v>106</v>
      </c>
      <c r="G241" s="3">
        <v>106</v>
      </c>
      <c r="H241" s="3">
        <v>106</v>
      </c>
      <c r="I241" s="3">
        <v>0</v>
      </c>
      <c r="J241" s="3">
        <v>0</v>
      </c>
      <c r="K241" s="3">
        <v>0</v>
      </c>
      <c r="L241" s="3">
        <v>0</v>
      </c>
      <c r="M241" s="3">
        <v>0</v>
      </c>
      <c r="N241" s="3">
        <v>0</v>
      </c>
      <c r="O241" s="73"/>
      <c r="P241" s="4"/>
    </row>
    <row r="242" spans="1:16" ht="15.75">
      <c r="A242" s="71"/>
      <c r="B242" s="95"/>
      <c r="C242" s="71"/>
      <c r="D242" s="1" t="s">
        <v>17</v>
      </c>
      <c r="E242" s="2">
        <f aca="true" t="shared" si="118" ref="E242:F247">G242+I242+K242+M242</f>
        <v>1241</v>
      </c>
      <c r="F242" s="2">
        <f t="shared" si="118"/>
        <v>106</v>
      </c>
      <c r="G242" s="3">
        <f>106+1135</f>
        <v>1241</v>
      </c>
      <c r="H242" s="3">
        <v>106</v>
      </c>
      <c r="I242" s="3">
        <v>0</v>
      </c>
      <c r="J242" s="3">
        <v>0</v>
      </c>
      <c r="K242" s="3">
        <v>0</v>
      </c>
      <c r="L242" s="3">
        <v>0</v>
      </c>
      <c r="M242" s="3">
        <v>0</v>
      </c>
      <c r="N242" s="3">
        <v>0</v>
      </c>
      <c r="O242" s="73"/>
      <c r="P242" s="4"/>
    </row>
    <row r="243" spans="1:16" ht="15.75">
      <c r="A243" s="71"/>
      <c r="B243" s="95"/>
      <c r="C243" s="71"/>
      <c r="D243" s="1" t="s">
        <v>97</v>
      </c>
      <c r="E243" s="2">
        <f t="shared" si="118"/>
        <v>1241</v>
      </c>
      <c r="F243" s="2">
        <f t="shared" si="118"/>
        <v>106</v>
      </c>
      <c r="G243" s="3">
        <f>G242</f>
        <v>1241</v>
      </c>
      <c r="H243" s="3">
        <f>H242</f>
        <v>106</v>
      </c>
      <c r="I243" s="3">
        <v>0</v>
      </c>
      <c r="J243" s="3">
        <v>0</v>
      </c>
      <c r="K243" s="3">
        <v>0</v>
      </c>
      <c r="L243" s="3">
        <v>0</v>
      </c>
      <c r="M243" s="3">
        <v>0</v>
      </c>
      <c r="N243" s="3">
        <v>0</v>
      </c>
      <c r="O243" s="73"/>
      <c r="P243" s="4"/>
    </row>
    <row r="244" spans="1:16" ht="15.75">
      <c r="A244" s="71"/>
      <c r="B244" s="95"/>
      <c r="C244" s="71"/>
      <c r="D244" s="1" t="s">
        <v>98</v>
      </c>
      <c r="E244" s="2">
        <f t="shared" si="118"/>
        <v>1241</v>
      </c>
      <c r="F244" s="2">
        <f t="shared" si="118"/>
        <v>106</v>
      </c>
      <c r="G244" s="3">
        <f>G243</f>
        <v>1241</v>
      </c>
      <c r="H244" s="3">
        <v>106</v>
      </c>
      <c r="I244" s="3">
        <v>0</v>
      </c>
      <c r="J244" s="3">
        <v>0</v>
      </c>
      <c r="K244" s="3">
        <v>0</v>
      </c>
      <c r="L244" s="3">
        <v>0</v>
      </c>
      <c r="M244" s="3">
        <v>0</v>
      </c>
      <c r="N244" s="3">
        <v>0</v>
      </c>
      <c r="O244" s="73"/>
      <c r="P244" s="4"/>
    </row>
    <row r="245" spans="1:16" ht="15.75">
      <c r="A245" s="71"/>
      <c r="B245" s="95"/>
      <c r="C245" s="71"/>
      <c r="D245" s="1" t="s">
        <v>99</v>
      </c>
      <c r="E245" s="2">
        <f t="shared" si="118"/>
        <v>1241</v>
      </c>
      <c r="F245" s="2">
        <f t="shared" si="118"/>
        <v>0</v>
      </c>
      <c r="G245" s="3">
        <f>G244</f>
        <v>1241</v>
      </c>
      <c r="H245" s="3">
        <v>0</v>
      </c>
      <c r="I245" s="3">
        <v>0</v>
      </c>
      <c r="J245" s="3">
        <v>0</v>
      </c>
      <c r="K245" s="3">
        <v>0</v>
      </c>
      <c r="L245" s="3">
        <v>0</v>
      </c>
      <c r="M245" s="3">
        <v>0</v>
      </c>
      <c r="N245" s="3">
        <v>0</v>
      </c>
      <c r="O245" s="73"/>
      <c r="P245" s="4"/>
    </row>
    <row r="246" spans="1:16" ht="15.75">
      <c r="A246" s="71"/>
      <c r="B246" s="95"/>
      <c r="C246" s="71"/>
      <c r="D246" s="1" t="s">
        <v>100</v>
      </c>
      <c r="E246" s="2">
        <f t="shared" si="118"/>
        <v>1241</v>
      </c>
      <c r="F246" s="2">
        <f t="shared" si="118"/>
        <v>0</v>
      </c>
      <c r="G246" s="3">
        <f>G245</f>
        <v>1241</v>
      </c>
      <c r="H246" s="3">
        <v>0</v>
      </c>
      <c r="I246" s="3">
        <v>0</v>
      </c>
      <c r="J246" s="3">
        <v>0</v>
      </c>
      <c r="K246" s="3">
        <v>0</v>
      </c>
      <c r="L246" s="3">
        <v>0</v>
      </c>
      <c r="M246" s="3">
        <v>0</v>
      </c>
      <c r="N246" s="3">
        <v>0</v>
      </c>
      <c r="O246" s="73"/>
      <c r="P246" s="4"/>
    </row>
    <row r="247" spans="1:16" ht="15.75">
      <c r="A247" s="87"/>
      <c r="B247" s="95"/>
      <c r="C247" s="87"/>
      <c r="D247" s="1" t="s">
        <v>101</v>
      </c>
      <c r="E247" s="2">
        <f t="shared" si="118"/>
        <v>1241</v>
      </c>
      <c r="F247" s="2">
        <f t="shared" si="118"/>
        <v>0</v>
      </c>
      <c r="G247" s="3">
        <f>G246</f>
        <v>1241</v>
      </c>
      <c r="H247" s="3">
        <v>0</v>
      </c>
      <c r="I247" s="3">
        <v>0</v>
      </c>
      <c r="J247" s="3">
        <v>0</v>
      </c>
      <c r="K247" s="3">
        <v>0</v>
      </c>
      <c r="L247" s="3">
        <v>0</v>
      </c>
      <c r="M247" s="3">
        <v>0</v>
      </c>
      <c r="N247" s="3">
        <v>0</v>
      </c>
      <c r="O247" s="74"/>
      <c r="P247" s="4"/>
    </row>
    <row r="248" spans="1:16" ht="15" customHeight="1">
      <c r="A248" s="84" t="s">
        <v>19</v>
      </c>
      <c r="B248" s="14" t="s">
        <v>46</v>
      </c>
      <c r="C248" s="10"/>
      <c r="D248" s="10" t="s">
        <v>11</v>
      </c>
      <c r="E248" s="2">
        <f>SUM(E249:E259)</f>
        <v>1885787.8030000003</v>
      </c>
      <c r="F248" s="2">
        <f aca="true" t="shared" si="119" ref="F248:N248">SUM(F249:F259)</f>
        <v>1118054.213</v>
      </c>
      <c r="G248" s="2">
        <f>SUM(G249:G259)</f>
        <v>1150745.8699999999</v>
      </c>
      <c r="H248" s="2">
        <f t="shared" si="119"/>
        <v>738259.1799999999</v>
      </c>
      <c r="I248" s="2">
        <f t="shared" si="119"/>
        <v>938.5</v>
      </c>
      <c r="J248" s="2">
        <f t="shared" si="119"/>
        <v>518.5</v>
      </c>
      <c r="K248" s="2">
        <f t="shared" si="119"/>
        <v>441031.133</v>
      </c>
      <c r="L248" s="2">
        <f>SUM(L249:L259)</f>
        <v>163895.533</v>
      </c>
      <c r="M248" s="2">
        <f t="shared" si="119"/>
        <v>293072.3</v>
      </c>
      <c r="N248" s="2">
        <f t="shared" si="119"/>
        <v>215381</v>
      </c>
      <c r="O248" s="122" t="s">
        <v>86</v>
      </c>
      <c r="P248" s="4"/>
    </row>
    <row r="249" spans="1:16" s="12" customFormat="1" ht="35.25" customHeight="1">
      <c r="A249" s="85"/>
      <c r="B249" s="107" t="s">
        <v>105</v>
      </c>
      <c r="C249" s="10" t="s">
        <v>66</v>
      </c>
      <c r="D249" s="10" t="s">
        <v>12</v>
      </c>
      <c r="E249" s="2">
        <f aca="true" t="shared" si="120" ref="E249:F253">G249+I249+K249+M249</f>
        <v>129321.4</v>
      </c>
      <c r="F249" s="2">
        <f t="shared" si="120"/>
        <v>115482.7</v>
      </c>
      <c r="G249" s="2">
        <f aca="true" t="shared" si="121" ref="G249:L249">G261+G273+G285+G292+G299+G306+G313++G320+G327+G334+G341</f>
        <v>90603.7</v>
      </c>
      <c r="H249" s="2">
        <f t="shared" si="121"/>
        <v>77665</v>
      </c>
      <c r="I249" s="2">
        <f t="shared" si="121"/>
        <v>200</v>
      </c>
      <c r="J249" s="2">
        <f t="shared" si="121"/>
        <v>0</v>
      </c>
      <c r="K249" s="2">
        <f t="shared" si="121"/>
        <v>18264.5</v>
      </c>
      <c r="L249" s="2">
        <f t="shared" si="121"/>
        <v>17564.5</v>
      </c>
      <c r="M249" s="2">
        <f>M261+M273+M285+M292+M299+M306+M313+M320+M327+M334+M341</f>
        <v>20253.199999999997</v>
      </c>
      <c r="N249" s="2">
        <f>N261+N273+N285+N292+N299+N306+N313++N320+N327+N334+N341</f>
        <v>20253.199999999997</v>
      </c>
      <c r="O249" s="122"/>
      <c r="P249" s="4"/>
    </row>
    <row r="250" spans="1:16" s="12" customFormat="1" ht="15.75" customHeight="1">
      <c r="A250" s="85"/>
      <c r="B250" s="107"/>
      <c r="C250" s="84" t="s">
        <v>79</v>
      </c>
      <c r="D250" s="10" t="s">
        <v>13</v>
      </c>
      <c r="E250" s="2">
        <f t="shared" si="120"/>
        <v>128655.36999999998</v>
      </c>
      <c r="F250" s="2">
        <f t="shared" si="120"/>
        <v>122789.84</v>
      </c>
      <c r="G250" s="2">
        <f>G262+G274+G342</f>
        <v>85805.56999999998</v>
      </c>
      <c r="H250" s="2">
        <f>H262+H274+H342</f>
        <v>80980.04</v>
      </c>
      <c r="I250" s="2">
        <f aca="true" t="shared" si="122" ref="I250:L251">I262+I274+I286+I293+I300+I307+I314++I321+I328+I335+I342</f>
        <v>220</v>
      </c>
      <c r="J250" s="2">
        <f t="shared" si="122"/>
        <v>0</v>
      </c>
      <c r="K250" s="2">
        <f t="shared" si="122"/>
        <v>17618</v>
      </c>
      <c r="L250" s="2">
        <f t="shared" si="122"/>
        <v>16798</v>
      </c>
      <c r="M250" s="2">
        <f>M262+M274+M286+M293+M300+M307+M314+M321+M328+M335+M342</f>
        <v>25011.8</v>
      </c>
      <c r="N250" s="2">
        <f>N262+N274+N286+N293+N300+N307+N314++N321+N328+N335+N342</f>
        <v>25011.8</v>
      </c>
      <c r="O250" s="122"/>
      <c r="P250" s="4"/>
    </row>
    <row r="251" spans="1:24" s="12" customFormat="1" ht="15" customHeight="1">
      <c r="A251" s="85"/>
      <c r="B251" s="107"/>
      <c r="C251" s="85"/>
      <c r="D251" s="10" t="s">
        <v>14</v>
      </c>
      <c r="E251" s="2">
        <f t="shared" si="120"/>
        <v>151718.633</v>
      </c>
      <c r="F251" s="2">
        <f t="shared" si="120"/>
        <v>150033.633</v>
      </c>
      <c r="G251" s="2">
        <f>G263+G275+G287+G294+G301+G308+G315++G322+G329+G336+G343</f>
        <v>90037.8</v>
      </c>
      <c r="H251" s="2">
        <f>H263+H275+H287+H294+H301+H308+H315++H322+H329+H336+H343</f>
        <v>88352.8</v>
      </c>
      <c r="I251" s="2">
        <f t="shared" si="122"/>
        <v>0</v>
      </c>
      <c r="J251" s="2">
        <f t="shared" si="122"/>
        <v>0</v>
      </c>
      <c r="K251" s="2">
        <f t="shared" si="122"/>
        <v>31832.333</v>
      </c>
      <c r="L251" s="2">
        <f t="shared" si="122"/>
        <v>31832.333</v>
      </c>
      <c r="M251" s="2">
        <f>M263+M275+M287+M294+M301+M308+M315+M322+M329+M336+M343</f>
        <v>29848.5</v>
      </c>
      <c r="N251" s="2">
        <f>N263+N275+N287+N294+N301+N308+N315++N322+N329+N336+N343</f>
        <v>29848.5</v>
      </c>
      <c r="O251" s="122"/>
      <c r="P251" s="4"/>
      <c r="X251" s="33"/>
    </row>
    <row r="252" spans="1:16" s="12" customFormat="1" ht="15.75">
      <c r="A252" s="85"/>
      <c r="B252" s="107"/>
      <c r="C252" s="85"/>
      <c r="D252" s="10" t="s">
        <v>15</v>
      </c>
      <c r="E252" s="2">
        <f>G252+I252+K252+M252</f>
        <v>174847.6</v>
      </c>
      <c r="F252" s="2">
        <f t="shared" si="120"/>
        <v>168847.7</v>
      </c>
      <c r="G252" s="2">
        <f>G264+G276+G288+G295+G302+G309+G316++G323+G330+G337+G344+G356+G368+G380+G392</f>
        <v>100329.60000000002</v>
      </c>
      <c r="H252" s="2">
        <f aca="true" t="shared" si="123" ref="H252:N252">H264+H276+H288+H295+H302+H309+H316++H323+H330+H337+H344+H356+H368+H380+H392</f>
        <v>94329.70000000001</v>
      </c>
      <c r="I252" s="2">
        <f t="shared" si="123"/>
        <v>518.5</v>
      </c>
      <c r="J252" s="2">
        <f t="shared" si="123"/>
        <v>518.5</v>
      </c>
      <c r="K252" s="2">
        <f t="shared" si="123"/>
        <v>46076.6</v>
      </c>
      <c r="L252" s="2">
        <f t="shared" si="123"/>
        <v>46076.6</v>
      </c>
      <c r="M252" s="2">
        <f t="shared" si="123"/>
        <v>27922.9</v>
      </c>
      <c r="N252" s="2">
        <f t="shared" si="123"/>
        <v>27922.9</v>
      </c>
      <c r="O252" s="122"/>
      <c r="P252" s="4"/>
    </row>
    <row r="253" spans="1:16" s="12" customFormat="1" ht="15.75">
      <c r="A253" s="85"/>
      <c r="B253" s="107"/>
      <c r="C253" s="85"/>
      <c r="D253" s="10" t="s">
        <v>16</v>
      </c>
      <c r="E253" s="2">
        <f t="shared" si="120"/>
        <v>180235.5</v>
      </c>
      <c r="F253" s="2">
        <f t="shared" si="120"/>
        <v>180235.5</v>
      </c>
      <c r="G253" s="2">
        <f aca="true" t="shared" si="124" ref="G253:N253">G265+G277+G289+G296+G303+G310+G317++G324+G331+G338+G345+G357+G369+G381+G393</f>
        <v>102003.2</v>
      </c>
      <c r="H253" s="2">
        <f>H265+H277+H289+H296+H303+H310+H317++H324+H331+H338+H345+H357+H369+H381+H393</f>
        <v>102003.2</v>
      </c>
      <c r="I253" s="2">
        <f t="shared" si="124"/>
        <v>0</v>
      </c>
      <c r="J253" s="2">
        <f t="shared" si="124"/>
        <v>0</v>
      </c>
      <c r="K253" s="2">
        <f t="shared" si="124"/>
        <v>47222.7</v>
      </c>
      <c r="L253" s="2">
        <f t="shared" si="124"/>
        <v>47222.7</v>
      </c>
      <c r="M253" s="2">
        <f t="shared" si="124"/>
        <v>31009.600000000002</v>
      </c>
      <c r="N253" s="2">
        <f t="shared" si="124"/>
        <v>31009.600000000002</v>
      </c>
      <c r="O253" s="122"/>
      <c r="P253" s="54"/>
    </row>
    <row r="254" spans="1:25" s="60" customFormat="1" ht="15.75">
      <c r="A254" s="85"/>
      <c r="B254" s="107"/>
      <c r="C254" s="85"/>
      <c r="D254" s="57" t="s">
        <v>17</v>
      </c>
      <c r="E254" s="58">
        <f aca="true" t="shared" si="125" ref="E254:F259">G254+I254+K254+M254</f>
        <v>189871.3</v>
      </c>
      <c r="F254" s="58">
        <f t="shared" si="125"/>
        <v>130253.54</v>
      </c>
      <c r="G254" s="58">
        <f aca="true" t="shared" si="126" ref="G254:N254">G266+G278+G290+G297+G304+G311+G318++G325+G332+G339+G346+G358+G370+G382+G394</f>
        <v>113660.99999999999</v>
      </c>
      <c r="H254" s="58">
        <f t="shared" si="126"/>
        <v>98512.04</v>
      </c>
      <c r="I254" s="58">
        <f t="shared" si="126"/>
        <v>0</v>
      </c>
      <c r="J254" s="58">
        <f t="shared" si="126"/>
        <v>0</v>
      </c>
      <c r="K254" s="58">
        <f t="shared" si="126"/>
        <v>46669.5</v>
      </c>
      <c r="L254" s="58">
        <f t="shared" si="126"/>
        <v>2200.7</v>
      </c>
      <c r="M254" s="58">
        <f t="shared" si="126"/>
        <v>29540.8</v>
      </c>
      <c r="N254" s="58">
        <f t="shared" si="126"/>
        <v>29540.8</v>
      </c>
      <c r="O254" s="122"/>
      <c r="P254" s="66"/>
      <c r="Q254" s="63">
        <f>F254/E254*100</f>
        <v>68.60096286273914</v>
      </c>
      <c r="W254" s="63">
        <f>G254-H254</f>
        <v>15148.959999999992</v>
      </c>
      <c r="X254" s="64">
        <f>100-F253/E253*100</f>
        <v>0</v>
      </c>
      <c r="Y254" s="64">
        <f>90-X254</f>
        <v>90</v>
      </c>
    </row>
    <row r="255" spans="1:25" s="60" customFormat="1" ht="15.75">
      <c r="A255" s="85"/>
      <c r="B255" s="107"/>
      <c r="C255" s="85"/>
      <c r="D255" s="57" t="s">
        <v>97</v>
      </c>
      <c r="E255" s="58">
        <f t="shared" si="125"/>
        <v>186227.6</v>
      </c>
      <c r="F255" s="58">
        <f t="shared" si="125"/>
        <v>126306</v>
      </c>
      <c r="G255" s="58">
        <f>G267+G279+G347+G359+G371+G383+G395</f>
        <v>113660.99999999999</v>
      </c>
      <c r="H255" s="58">
        <f aca="true" t="shared" si="127" ref="H255:N255">H267+H279+H347+H359+H371+H383+H395</f>
        <v>98208.2</v>
      </c>
      <c r="I255" s="58">
        <f t="shared" si="127"/>
        <v>0</v>
      </c>
      <c r="J255" s="58">
        <f t="shared" si="127"/>
        <v>0</v>
      </c>
      <c r="K255" s="58">
        <f t="shared" si="127"/>
        <v>46669.5</v>
      </c>
      <c r="L255" s="58">
        <f t="shared" si="127"/>
        <v>2200.7</v>
      </c>
      <c r="M255" s="58">
        <f t="shared" si="127"/>
        <v>25897.1</v>
      </c>
      <c r="N255" s="58">
        <f t="shared" si="127"/>
        <v>25897.1</v>
      </c>
      <c r="O255" s="122"/>
      <c r="P255" s="66"/>
      <c r="Q255" s="63">
        <f>F255/E255*100</f>
        <v>67.82345903614716</v>
      </c>
      <c r="X255" s="64">
        <f aca="true" t="shared" si="128" ref="X255:X260">100-F254/E254*100</f>
        <v>31.399037137260862</v>
      </c>
      <c r="Y255" s="64">
        <f aca="true" t="shared" si="129" ref="Y255:Y260">90-X255</f>
        <v>58.60096286273914</v>
      </c>
    </row>
    <row r="256" spans="1:25" s="60" customFormat="1" ht="15.75">
      <c r="A256" s="85"/>
      <c r="B256" s="107"/>
      <c r="C256" s="85"/>
      <c r="D256" s="57" t="s">
        <v>98</v>
      </c>
      <c r="E256" s="58">
        <f t="shared" si="125"/>
        <v>186227.6</v>
      </c>
      <c r="F256" s="58">
        <f t="shared" si="125"/>
        <v>124105.29999999999</v>
      </c>
      <c r="G256" s="58">
        <f aca="true" t="shared" si="130" ref="G256:N256">G268+G280+G348+G360+G372+G384+G396</f>
        <v>113660.99999999999</v>
      </c>
      <c r="H256" s="58">
        <f t="shared" si="130"/>
        <v>98208.2</v>
      </c>
      <c r="I256" s="58">
        <f t="shared" si="130"/>
        <v>0</v>
      </c>
      <c r="J256" s="58">
        <f t="shared" si="130"/>
        <v>0</v>
      </c>
      <c r="K256" s="58">
        <f t="shared" si="130"/>
        <v>46669.5</v>
      </c>
      <c r="L256" s="58">
        <f t="shared" si="130"/>
        <v>0</v>
      </c>
      <c r="M256" s="58">
        <f t="shared" si="130"/>
        <v>25897.1</v>
      </c>
      <c r="N256" s="58">
        <f t="shared" si="130"/>
        <v>25897.1</v>
      </c>
      <c r="O256" s="122"/>
      <c r="P256" s="66"/>
      <c r="Q256" s="63">
        <f>F256/E256*100</f>
        <v>66.64173301916578</v>
      </c>
      <c r="X256" s="64">
        <f t="shared" si="128"/>
        <v>32.176540963852844</v>
      </c>
      <c r="Y256" s="64">
        <f t="shared" si="129"/>
        <v>57.823459036147156</v>
      </c>
    </row>
    <row r="257" spans="1:25" s="12" customFormat="1" ht="15.75">
      <c r="A257" s="85"/>
      <c r="B257" s="107"/>
      <c r="C257" s="85"/>
      <c r="D257" s="10" t="s">
        <v>99</v>
      </c>
      <c r="E257" s="2">
        <f t="shared" si="125"/>
        <v>186227.6</v>
      </c>
      <c r="F257" s="2">
        <f t="shared" si="125"/>
        <v>0</v>
      </c>
      <c r="G257" s="2">
        <f aca="true" t="shared" si="131" ref="G257:N257">G269+G281+G349+G361+G373+G385+G397</f>
        <v>113660.99999999999</v>
      </c>
      <c r="H257" s="2">
        <f t="shared" si="131"/>
        <v>0</v>
      </c>
      <c r="I257" s="2">
        <f t="shared" si="131"/>
        <v>0</v>
      </c>
      <c r="J257" s="2">
        <f t="shared" si="131"/>
        <v>0</v>
      </c>
      <c r="K257" s="2">
        <f t="shared" si="131"/>
        <v>46669.5</v>
      </c>
      <c r="L257" s="2">
        <f t="shared" si="131"/>
        <v>0</v>
      </c>
      <c r="M257" s="2">
        <f t="shared" si="131"/>
        <v>25897.1</v>
      </c>
      <c r="N257" s="2">
        <f t="shared" si="131"/>
        <v>0</v>
      </c>
      <c r="O257" s="122"/>
      <c r="P257" s="4"/>
      <c r="X257" s="47">
        <f t="shared" si="128"/>
        <v>33.358266980834216</v>
      </c>
      <c r="Y257" s="47">
        <f t="shared" si="129"/>
        <v>56.641733019165784</v>
      </c>
    </row>
    <row r="258" spans="1:25" s="12" customFormat="1" ht="15.75">
      <c r="A258" s="85"/>
      <c r="B258" s="107"/>
      <c r="C258" s="85"/>
      <c r="D258" s="10" t="s">
        <v>100</v>
      </c>
      <c r="E258" s="2">
        <f t="shared" si="125"/>
        <v>186227.6</v>
      </c>
      <c r="F258" s="2">
        <f t="shared" si="125"/>
        <v>0</v>
      </c>
      <c r="G258" s="2">
        <f aca="true" t="shared" si="132" ref="G258:N258">G270+G282+G350+G362+G374+G386+G398</f>
        <v>113660.99999999999</v>
      </c>
      <c r="H258" s="2">
        <f t="shared" si="132"/>
        <v>0</v>
      </c>
      <c r="I258" s="2">
        <f t="shared" si="132"/>
        <v>0</v>
      </c>
      <c r="J258" s="2">
        <f t="shared" si="132"/>
        <v>0</v>
      </c>
      <c r="K258" s="2">
        <f t="shared" si="132"/>
        <v>46669.5</v>
      </c>
      <c r="L258" s="2">
        <f t="shared" si="132"/>
        <v>0</v>
      </c>
      <c r="M258" s="2">
        <f t="shared" si="132"/>
        <v>25897.1</v>
      </c>
      <c r="N258" s="2">
        <f t="shared" si="132"/>
        <v>0</v>
      </c>
      <c r="O258" s="122"/>
      <c r="P258" s="4"/>
      <c r="X258" s="47">
        <f t="shared" si="128"/>
        <v>100</v>
      </c>
      <c r="Y258" s="47">
        <f t="shared" si="129"/>
        <v>-10</v>
      </c>
    </row>
    <row r="259" spans="1:25" s="12" customFormat="1" ht="15.75">
      <c r="A259" s="85"/>
      <c r="B259" s="107"/>
      <c r="C259" s="86"/>
      <c r="D259" s="10" t="s">
        <v>101</v>
      </c>
      <c r="E259" s="2">
        <f t="shared" si="125"/>
        <v>186227.6</v>
      </c>
      <c r="F259" s="2">
        <f t="shared" si="125"/>
        <v>0</v>
      </c>
      <c r="G259" s="2">
        <f aca="true" t="shared" si="133" ref="G259:N259">G271+G283+G351+G363+G375+G387+G399</f>
        <v>113660.99999999999</v>
      </c>
      <c r="H259" s="2">
        <f t="shared" si="133"/>
        <v>0</v>
      </c>
      <c r="I259" s="2">
        <f t="shared" si="133"/>
        <v>0</v>
      </c>
      <c r="J259" s="2">
        <f t="shared" si="133"/>
        <v>0</v>
      </c>
      <c r="K259" s="2">
        <f t="shared" si="133"/>
        <v>46669.5</v>
      </c>
      <c r="L259" s="2">
        <f t="shared" si="133"/>
        <v>0</v>
      </c>
      <c r="M259" s="2">
        <f t="shared" si="133"/>
        <v>25897.1</v>
      </c>
      <c r="N259" s="2">
        <f t="shared" si="133"/>
        <v>0</v>
      </c>
      <c r="O259" s="122"/>
      <c r="P259" s="4"/>
      <c r="X259" s="47">
        <f t="shared" si="128"/>
        <v>100</v>
      </c>
      <c r="Y259" s="47">
        <f t="shared" si="129"/>
        <v>-10</v>
      </c>
    </row>
    <row r="260" spans="1:25" s="12" customFormat="1" ht="15.75" customHeight="1">
      <c r="A260" s="85"/>
      <c r="B260" s="99" t="s">
        <v>27</v>
      </c>
      <c r="C260" s="6"/>
      <c r="D260" s="10" t="s">
        <v>11</v>
      </c>
      <c r="E260" s="2">
        <f>SUM(E261:E271)</f>
        <v>1771131.9030000002</v>
      </c>
      <c r="F260" s="2">
        <f aca="true" t="shared" si="134" ref="F260:N260">SUM(F261:F271)</f>
        <v>1051784.313</v>
      </c>
      <c r="G260" s="2">
        <f t="shared" si="134"/>
        <v>1037383.9699999996</v>
      </c>
      <c r="H260" s="2">
        <f t="shared" si="134"/>
        <v>672383.2799999999</v>
      </c>
      <c r="I260" s="2">
        <f t="shared" si="134"/>
        <v>738.5</v>
      </c>
      <c r="J260" s="2">
        <f t="shared" si="134"/>
        <v>518.5</v>
      </c>
      <c r="K260" s="2">
        <f t="shared" si="134"/>
        <v>440331.133</v>
      </c>
      <c r="L260" s="2">
        <f>SUM(L261:L271)</f>
        <v>163895.533</v>
      </c>
      <c r="M260" s="2">
        <f t="shared" si="134"/>
        <v>292678.3</v>
      </c>
      <c r="N260" s="2">
        <f t="shared" si="134"/>
        <v>214987</v>
      </c>
      <c r="O260" s="122"/>
      <c r="P260" s="4"/>
      <c r="X260" s="12">
        <f t="shared" si="128"/>
        <v>100</v>
      </c>
      <c r="Y260" s="47">
        <f t="shared" si="129"/>
        <v>-10</v>
      </c>
    </row>
    <row r="261" spans="1:16" s="26" customFormat="1" ht="54.75" customHeight="1">
      <c r="A261" s="85"/>
      <c r="B261" s="99"/>
      <c r="C261" s="1" t="s">
        <v>72</v>
      </c>
      <c r="D261" s="1" t="s">
        <v>12</v>
      </c>
      <c r="E261" s="2">
        <f aca="true" t="shared" si="135" ref="E261:F265">G261+I261+K261+M261</f>
        <v>114532.09999999998</v>
      </c>
      <c r="F261" s="2">
        <f t="shared" si="135"/>
        <v>111157.5</v>
      </c>
      <c r="G261" s="3">
        <f>8503.5+H261-559.8-4514.1-10-45</f>
        <v>77092.99999999999</v>
      </c>
      <c r="H261" s="3">
        <v>73718.4</v>
      </c>
      <c r="I261" s="3">
        <v>0</v>
      </c>
      <c r="J261" s="3">
        <v>0</v>
      </c>
      <c r="K261" s="3">
        <f>L261</f>
        <v>17564.5</v>
      </c>
      <c r="L261" s="3">
        <v>17564.5</v>
      </c>
      <c r="M261" s="3">
        <v>19874.6</v>
      </c>
      <c r="N261" s="3">
        <f aca="true" t="shared" si="136" ref="N261:N266">M261</f>
        <v>19874.6</v>
      </c>
      <c r="O261" s="122"/>
      <c r="P261" s="37"/>
    </row>
    <row r="262" spans="1:16" ht="55.5" customHeight="1">
      <c r="A262" s="85"/>
      <c r="B262" s="99"/>
      <c r="C262" s="1" t="s">
        <v>71</v>
      </c>
      <c r="D262" s="1" t="s">
        <v>13</v>
      </c>
      <c r="E262" s="2">
        <f t="shared" si="135"/>
        <v>126132.86999999998</v>
      </c>
      <c r="F262" s="2">
        <f t="shared" si="135"/>
        <v>121423.63999999998</v>
      </c>
      <c r="G262" s="3">
        <f>H262+260.23+775+150+608+276+300+1300</f>
        <v>83283.06999999998</v>
      </c>
      <c r="H262" s="3">
        <f>79427.7-H314-H321-H328-H335-1165.7-H342+649.4-0.3+991.5+700+70-744.66</f>
        <v>79613.83999999998</v>
      </c>
      <c r="I262" s="3">
        <v>220</v>
      </c>
      <c r="J262" s="3">
        <v>0</v>
      </c>
      <c r="K262" s="3">
        <f>L262+360+460</f>
        <v>17618</v>
      </c>
      <c r="L262" s="3">
        <f>24612.9+72-7886.9</f>
        <v>16798</v>
      </c>
      <c r="M262" s="3">
        <f>25011.8-M286-M293-M314-M321-M328-M335</f>
        <v>25011.8</v>
      </c>
      <c r="N262" s="3">
        <f t="shared" si="136"/>
        <v>25011.8</v>
      </c>
      <c r="O262" s="122"/>
      <c r="P262" s="4"/>
    </row>
    <row r="263" spans="1:16" ht="15" customHeight="1">
      <c r="A263" s="85"/>
      <c r="B263" s="99"/>
      <c r="C263" s="70" t="s">
        <v>85</v>
      </c>
      <c r="D263" s="1" t="s">
        <v>14</v>
      </c>
      <c r="E263" s="2">
        <f t="shared" si="135"/>
        <v>150271.633</v>
      </c>
      <c r="F263" s="2">
        <f t="shared" si="135"/>
        <v>148586.633</v>
      </c>
      <c r="G263" s="3">
        <f>H263+1685</f>
        <v>88590.8</v>
      </c>
      <c r="H263" s="3">
        <f>86449.7-H275-H343+1499.5+20+80+303.6</f>
        <v>86905.8</v>
      </c>
      <c r="I263" s="3">
        <v>0</v>
      </c>
      <c r="J263" s="3">
        <v>0</v>
      </c>
      <c r="K263" s="3">
        <f>L263</f>
        <v>31832.333</v>
      </c>
      <c r="L263" s="3">
        <f>32007.833-175.5</f>
        <v>31832.333</v>
      </c>
      <c r="M263" s="3">
        <f>29848.5-M287-M294-M315-M322-M329-M336</f>
        <v>29848.5</v>
      </c>
      <c r="N263" s="3">
        <f t="shared" si="136"/>
        <v>29848.5</v>
      </c>
      <c r="O263" s="122"/>
      <c r="P263" s="4"/>
    </row>
    <row r="264" spans="1:16" ht="15.75">
      <c r="A264" s="85"/>
      <c r="B264" s="99"/>
      <c r="C264" s="71"/>
      <c r="D264" s="1" t="s">
        <v>15</v>
      </c>
      <c r="E264" s="2">
        <f t="shared" si="135"/>
        <v>163108.8</v>
      </c>
      <c r="F264" s="2">
        <f>H264+J264+L264+N264</f>
        <v>157423</v>
      </c>
      <c r="G264" s="3">
        <f aca="true" t="shared" si="137" ref="G264:G271">G263</f>
        <v>88590.8</v>
      </c>
      <c r="H264" s="3">
        <v>82905</v>
      </c>
      <c r="I264" s="3">
        <f>J264</f>
        <v>518.5</v>
      </c>
      <c r="J264" s="3">
        <v>518.5</v>
      </c>
      <c r="K264" s="3">
        <v>46076.6</v>
      </c>
      <c r="L264" s="3">
        <f>K264</f>
        <v>46076.6</v>
      </c>
      <c r="M264" s="3">
        <v>27922.9</v>
      </c>
      <c r="N264" s="3">
        <f t="shared" si="136"/>
        <v>27922.9</v>
      </c>
      <c r="O264" s="122"/>
      <c r="P264" s="4"/>
    </row>
    <row r="265" spans="1:16" ht="21" customHeight="1">
      <c r="A265" s="85"/>
      <c r="B265" s="99"/>
      <c r="C265" s="71"/>
      <c r="D265" s="1" t="s">
        <v>16</v>
      </c>
      <c r="E265" s="2">
        <f t="shared" si="135"/>
        <v>167188</v>
      </c>
      <c r="F265" s="2">
        <f t="shared" si="135"/>
        <v>167188</v>
      </c>
      <c r="G265" s="3">
        <f>H265</f>
        <v>88971.09999999999</v>
      </c>
      <c r="H265" s="3">
        <f>87860.6+1001.9+108.7-0.1</f>
        <v>88971.09999999999</v>
      </c>
      <c r="I265" s="3">
        <v>0</v>
      </c>
      <c r="J265" s="3">
        <v>0</v>
      </c>
      <c r="K265" s="3">
        <v>47222.7</v>
      </c>
      <c r="L265" s="3">
        <v>47222.7</v>
      </c>
      <c r="M265" s="3">
        <f>9700.5+17309.4+268.8+3730.9-M345</f>
        <v>30994.2</v>
      </c>
      <c r="N265" s="3">
        <f t="shared" si="136"/>
        <v>30994.2</v>
      </c>
      <c r="O265" s="122"/>
      <c r="P265" s="4"/>
    </row>
    <row r="266" spans="1:23" ht="21" customHeight="1">
      <c r="A266" s="85"/>
      <c r="B266" s="99"/>
      <c r="C266" s="71"/>
      <c r="D266" s="1" t="s">
        <v>17</v>
      </c>
      <c r="E266" s="2">
        <f aca="true" t="shared" si="138" ref="E266:F271">G266+I266+K266+M266</f>
        <v>178019.5</v>
      </c>
      <c r="F266" s="2">
        <f t="shared" si="138"/>
        <v>118700.44</v>
      </c>
      <c r="G266" s="3">
        <f>87739.2+14255-185</f>
        <v>101809.2</v>
      </c>
      <c r="H266" s="3">
        <v>86958.94</v>
      </c>
      <c r="I266" s="3">
        <v>0</v>
      </c>
      <c r="J266" s="3">
        <v>0</v>
      </c>
      <c r="K266" s="3">
        <v>46669.5</v>
      </c>
      <c r="L266" s="3">
        <v>2200.7</v>
      </c>
      <c r="M266" s="3">
        <v>29540.8</v>
      </c>
      <c r="N266" s="3">
        <f t="shared" si="136"/>
        <v>29540.8</v>
      </c>
      <c r="O266" s="122"/>
      <c r="P266" s="4"/>
      <c r="W266" s="36">
        <f>G266-H266</f>
        <v>14850.259999999995</v>
      </c>
    </row>
    <row r="267" spans="1:16" ht="21" customHeight="1">
      <c r="A267" s="85"/>
      <c r="B267" s="99"/>
      <c r="C267" s="71"/>
      <c r="D267" s="1" t="s">
        <v>97</v>
      </c>
      <c r="E267" s="2">
        <f>G267+I267+K267+M267</f>
        <v>174375.80000000002</v>
      </c>
      <c r="F267" s="2">
        <f t="shared" si="138"/>
        <v>114752.9</v>
      </c>
      <c r="G267" s="3">
        <f t="shared" si="137"/>
        <v>101809.2</v>
      </c>
      <c r="H267" s="3">
        <v>86655.1</v>
      </c>
      <c r="I267" s="3">
        <v>0</v>
      </c>
      <c r="J267" s="3">
        <v>0</v>
      </c>
      <c r="K267" s="3">
        <f>K266</f>
        <v>46669.5</v>
      </c>
      <c r="L267" s="3">
        <v>2200.7</v>
      </c>
      <c r="M267" s="3">
        <v>25897.1</v>
      </c>
      <c r="N267" s="3">
        <f>M267</f>
        <v>25897.1</v>
      </c>
      <c r="O267" s="122"/>
      <c r="P267" s="4"/>
    </row>
    <row r="268" spans="1:16" ht="21" customHeight="1">
      <c r="A268" s="85"/>
      <c r="B268" s="99"/>
      <c r="C268" s="71"/>
      <c r="D268" s="1" t="s">
        <v>98</v>
      </c>
      <c r="E268" s="2">
        <f t="shared" si="138"/>
        <v>174375.80000000002</v>
      </c>
      <c r="F268" s="2">
        <f t="shared" si="138"/>
        <v>112552.20000000001</v>
      </c>
      <c r="G268" s="3">
        <f t="shared" si="137"/>
        <v>101809.2</v>
      </c>
      <c r="H268" s="3">
        <v>86655.1</v>
      </c>
      <c r="I268" s="3">
        <v>0</v>
      </c>
      <c r="J268" s="3">
        <v>0</v>
      </c>
      <c r="K268" s="3">
        <f>K267</f>
        <v>46669.5</v>
      </c>
      <c r="L268" s="3">
        <v>0</v>
      </c>
      <c r="M268" s="3">
        <f>M267</f>
        <v>25897.1</v>
      </c>
      <c r="N268" s="3">
        <f>M268</f>
        <v>25897.1</v>
      </c>
      <c r="O268" s="122"/>
      <c r="P268" s="4"/>
    </row>
    <row r="269" spans="1:16" ht="21" customHeight="1">
      <c r="A269" s="85"/>
      <c r="B269" s="99"/>
      <c r="C269" s="71"/>
      <c r="D269" s="1" t="s">
        <v>99</v>
      </c>
      <c r="E269" s="2">
        <f t="shared" si="138"/>
        <v>174375.80000000002</v>
      </c>
      <c r="F269" s="2">
        <f t="shared" si="138"/>
        <v>0</v>
      </c>
      <c r="G269" s="3">
        <f t="shared" si="137"/>
        <v>101809.2</v>
      </c>
      <c r="H269" s="3">
        <v>0</v>
      </c>
      <c r="I269" s="3">
        <v>0</v>
      </c>
      <c r="J269" s="3">
        <v>0</v>
      </c>
      <c r="K269" s="3">
        <f>K268</f>
        <v>46669.5</v>
      </c>
      <c r="L269" s="3">
        <v>0</v>
      </c>
      <c r="M269" s="3">
        <f>M268</f>
        <v>25897.1</v>
      </c>
      <c r="N269" s="3">
        <v>0</v>
      </c>
      <c r="O269" s="122"/>
      <c r="P269" s="4"/>
    </row>
    <row r="270" spans="1:16" ht="21" customHeight="1">
      <c r="A270" s="85"/>
      <c r="B270" s="99"/>
      <c r="C270" s="71"/>
      <c r="D270" s="1" t="s">
        <v>100</v>
      </c>
      <c r="E270" s="2">
        <f t="shared" si="138"/>
        <v>174375.80000000002</v>
      </c>
      <c r="F270" s="2">
        <f t="shared" si="138"/>
        <v>0</v>
      </c>
      <c r="G270" s="3">
        <f t="shared" si="137"/>
        <v>101809.2</v>
      </c>
      <c r="H270" s="3">
        <v>0</v>
      </c>
      <c r="I270" s="3">
        <v>0</v>
      </c>
      <c r="J270" s="3">
        <v>0</v>
      </c>
      <c r="K270" s="3">
        <f>K269</f>
        <v>46669.5</v>
      </c>
      <c r="L270" s="3">
        <v>0</v>
      </c>
      <c r="M270" s="3">
        <f>M269</f>
        <v>25897.1</v>
      </c>
      <c r="N270" s="3">
        <v>0</v>
      </c>
      <c r="O270" s="122"/>
      <c r="P270" s="4"/>
    </row>
    <row r="271" spans="1:16" ht="45" customHeight="1">
      <c r="A271" s="85"/>
      <c r="B271" s="100"/>
      <c r="C271" s="87"/>
      <c r="D271" s="1" t="s">
        <v>101</v>
      </c>
      <c r="E271" s="2">
        <f t="shared" si="138"/>
        <v>174375.80000000002</v>
      </c>
      <c r="F271" s="2">
        <f t="shared" si="138"/>
        <v>0</v>
      </c>
      <c r="G271" s="3">
        <f t="shared" si="137"/>
        <v>101809.2</v>
      </c>
      <c r="H271" s="3">
        <v>0</v>
      </c>
      <c r="I271" s="3">
        <v>0</v>
      </c>
      <c r="J271" s="3">
        <v>0</v>
      </c>
      <c r="K271" s="3">
        <f>K270</f>
        <v>46669.5</v>
      </c>
      <c r="L271" s="3">
        <v>0</v>
      </c>
      <c r="M271" s="3">
        <f>M270</f>
        <v>25897.1</v>
      </c>
      <c r="N271" s="3">
        <v>0</v>
      </c>
      <c r="O271" s="122"/>
      <c r="P271" s="4"/>
    </row>
    <row r="272" spans="1:16" s="12" customFormat="1" ht="15.75" customHeight="1">
      <c r="A272" s="85"/>
      <c r="B272" s="96" t="s">
        <v>28</v>
      </c>
      <c r="C272" s="13"/>
      <c r="D272" s="10" t="s">
        <v>11</v>
      </c>
      <c r="E272" s="2">
        <f>SUM(E273:E283)</f>
        <v>14096.3</v>
      </c>
      <c r="F272" s="2">
        <f aca="true" t="shared" si="139" ref="F272:N272">SUM(F273:F283)</f>
        <v>8889.8</v>
      </c>
      <c r="G272" s="2">
        <f t="shared" si="139"/>
        <v>14096.3</v>
      </c>
      <c r="H272" s="2">
        <f t="shared" si="139"/>
        <v>8889.8</v>
      </c>
      <c r="I272" s="2">
        <f t="shared" si="139"/>
        <v>0</v>
      </c>
      <c r="J272" s="2">
        <f t="shared" si="139"/>
        <v>0</v>
      </c>
      <c r="K272" s="2">
        <f t="shared" si="139"/>
        <v>0</v>
      </c>
      <c r="L272" s="2">
        <f t="shared" si="139"/>
        <v>0</v>
      </c>
      <c r="M272" s="2">
        <f t="shared" si="139"/>
        <v>0</v>
      </c>
      <c r="N272" s="2">
        <f t="shared" si="139"/>
        <v>0</v>
      </c>
      <c r="O272" s="122"/>
      <c r="P272" s="4"/>
    </row>
    <row r="273" spans="1:16" s="26" customFormat="1" ht="30" customHeight="1">
      <c r="A273" s="85"/>
      <c r="B273" s="96"/>
      <c r="C273" s="17" t="s">
        <v>80</v>
      </c>
      <c r="D273" s="1" t="s">
        <v>12</v>
      </c>
      <c r="E273" s="2">
        <f aca="true" t="shared" si="140" ref="E273:F277">G273+I273+K273+M273</f>
        <v>1526.6</v>
      </c>
      <c r="F273" s="2">
        <f t="shared" si="140"/>
        <v>926.6</v>
      </c>
      <c r="G273" s="3">
        <f>600+H273</f>
        <v>1526.6</v>
      </c>
      <c r="H273" s="3">
        <v>926.6</v>
      </c>
      <c r="I273" s="3">
        <v>0</v>
      </c>
      <c r="J273" s="3">
        <v>0</v>
      </c>
      <c r="K273" s="3">
        <v>0</v>
      </c>
      <c r="L273" s="3">
        <v>0</v>
      </c>
      <c r="M273" s="3">
        <f>N273</f>
        <v>0</v>
      </c>
      <c r="N273" s="3">
        <v>0</v>
      </c>
      <c r="O273" s="122"/>
      <c r="P273" s="37"/>
    </row>
    <row r="274" spans="1:16" ht="25.5" customHeight="1">
      <c r="A274" s="85"/>
      <c r="B274" s="96"/>
      <c r="C274" s="70" t="s">
        <v>54</v>
      </c>
      <c r="D274" s="1" t="s">
        <v>13</v>
      </c>
      <c r="E274" s="2">
        <f t="shared" si="140"/>
        <v>1052.1</v>
      </c>
      <c r="F274" s="2">
        <f t="shared" si="140"/>
        <v>1052.1</v>
      </c>
      <c r="G274" s="3">
        <f>H274</f>
        <v>1052.1</v>
      </c>
      <c r="H274" s="3">
        <f>52.1+1160.5-46.9-113.6</f>
        <v>1052.1</v>
      </c>
      <c r="I274" s="3">
        <v>0</v>
      </c>
      <c r="J274" s="3">
        <v>0</v>
      </c>
      <c r="K274" s="3">
        <v>0</v>
      </c>
      <c r="L274" s="3">
        <v>0</v>
      </c>
      <c r="M274" s="3">
        <f>N274</f>
        <v>0</v>
      </c>
      <c r="N274" s="3">
        <v>0</v>
      </c>
      <c r="O274" s="122"/>
      <c r="P274" s="4"/>
    </row>
    <row r="275" spans="1:24" ht="15" customHeight="1">
      <c r="A275" s="85"/>
      <c r="B275" s="96"/>
      <c r="C275" s="71"/>
      <c r="D275" s="1" t="s">
        <v>14</v>
      </c>
      <c r="E275" s="2">
        <f t="shared" si="140"/>
        <v>1132.9</v>
      </c>
      <c r="F275" s="2">
        <f t="shared" si="140"/>
        <v>1132.9</v>
      </c>
      <c r="G275" s="3">
        <f>H275</f>
        <v>1132.9</v>
      </c>
      <c r="H275" s="3">
        <f>1165.5-32.6</f>
        <v>1132.9</v>
      </c>
      <c r="I275" s="3">
        <v>0</v>
      </c>
      <c r="J275" s="3">
        <v>0</v>
      </c>
      <c r="K275" s="3">
        <v>0</v>
      </c>
      <c r="L275" s="3">
        <v>0</v>
      </c>
      <c r="M275" s="3">
        <f>1.1*M274</f>
        <v>0</v>
      </c>
      <c r="N275" s="3">
        <v>0</v>
      </c>
      <c r="O275" s="122"/>
      <c r="P275" s="4"/>
      <c r="X275" s="36"/>
    </row>
    <row r="276" spans="1:16" ht="15.75">
      <c r="A276" s="85"/>
      <c r="B276" s="96"/>
      <c r="C276" s="71"/>
      <c r="D276" s="1" t="s">
        <v>15</v>
      </c>
      <c r="E276" s="2">
        <f aca="true" t="shared" si="141" ref="E276:E283">G276+I276+K276+M276</f>
        <v>997.3</v>
      </c>
      <c r="F276" s="2">
        <f t="shared" si="140"/>
        <v>997.3</v>
      </c>
      <c r="G276" s="3">
        <f>H276</f>
        <v>997.3</v>
      </c>
      <c r="H276" s="3">
        <v>997.3</v>
      </c>
      <c r="I276" s="3">
        <v>0</v>
      </c>
      <c r="J276" s="3">
        <v>0</v>
      </c>
      <c r="K276" s="3">
        <v>0</v>
      </c>
      <c r="L276" s="3">
        <v>0</v>
      </c>
      <c r="M276" s="3">
        <f>1.1*M275</f>
        <v>0</v>
      </c>
      <c r="N276" s="3">
        <v>0</v>
      </c>
      <c r="O276" s="122"/>
      <c r="P276" s="4"/>
    </row>
    <row r="277" spans="1:16" ht="15.75">
      <c r="A277" s="85"/>
      <c r="B277" s="96"/>
      <c r="C277" s="71"/>
      <c r="D277" s="1" t="s">
        <v>16</v>
      </c>
      <c r="E277" s="2">
        <f t="shared" si="141"/>
        <v>1284.4</v>
      </c>
      <c r="F277" s="2">
        <f t="shared" si="140"/>
        <v>1284.4</v>
      </c>
      <c r="G277" s="3">
        <v>1284.4</v>
      </c>
      <c r="H277" s="3">
        <f>G277</f>
        <v>1284.4</v>
      </c>
      <c r="I277" s="3">
        <v>0</v>
      </c>
      <c r="J277" s="3">
        <v>0</v>
      </c>
      <c r="K277" s="3">
        <v>0</v>
      </c>
      <c r="L277" s="3">
        <v>0</v>
      </c>
      <c r="M277" s="3">
        <f>1.1*M276</f>
        <v>0</v>
      </c>
      <c r="N277" s="3">
        <v>0</v>
      </c>
      <c r="O277" s="122"/>
      <c r="P277" s="4"/>
    </row>
    <row r="278" spans="1:16" ht="15.75">
      <c r="A278" s="85"/>
      <c r="B278" s="96"/>
      <c r="C278" s="71"/>
      <c r="D278" s="1" t="s">
        <v>17</v>
      </c>
      <c r="E278" s="2">
        <f t="shared" si="141"/>
        <v>1350.5</v>
      </c>
      <c r="F278" s="2">
        <f aca="true" t="shared" si="142" ref="F278:F283">H278+J278+L278+N278</f>
        <v>1165.5</v>
      </c>
      <c r="G278" s="3">
        <v>1350.5</v>
      </c>
      <c r="H278" s="3">
        <v>1165.5</v>
      </c>
      <c r="I278" s="3">
        <v>0</v>
      </c>
      <c r="J278" s="3">
        <v>0</v>
      </c>
      <c r="K278" s="3">
        <v>0</v>
      </c>
      <c r="L278" s="3">
        <v>0</v>
      </c>
      <c r="M278" s="3">
        <f>1.1*M277</f>
        <v>0</v>
      </c>
      <c r="N278" s="3">
        <v>0</v>
      </c>
      <c r="O278" s="122"/>
      <c r="P278" s="4"/>
    </row>
    <row r="279" spans="1:16" ht="15.75">
      <c r="A279" s="85"/>
      <c r="B279" s="96"/>
      <c r="C279" s="71"/>
      <c r="D279" s="1" t="s">
        <v>97</v>
      </c>
      <c r="E279" s="2">
        <f t="shared" si="141"/>
        <v>1350.5</v>
      </c>
      <c r="F279" s="2">
        <f t="shared" si="142"/>
        <v>1165.5</v>
      </c>
      <c r="G279" s="3">
        <f>G278</f>
        <v>1350.5</v>
      </c>
      <c r="H279" s="3">
        <f>H278</f>
        <v>1165.5</v>
      </c>
      <c r="I279" s="3">
        <v>0</v>
      </c>
      <c r="J279" s="3">
        <v>0</v>
      </c>
      <c r="K279" s="3">
        <v>0</v>
      </c>
      <c r="L279" s="3">
        <v>0</v>
      </c>
      <c r="M279" s="3">
        <v>0</v>
      </c>
      <c r="N279" s="3">
        <v>0</v>
      </c>
      <c r="O279" s="122"/>
      <c r="P279" s="4"/>
    </row>
    <row r="280" spans="1:16" ht="15.75">
      <c r="A280" s="85"/>
      <c r="B280" s="96"/>
      <c r="C280" s="71"/>
      <c r="D280" s="1" t="s">
        <v>98</v>
      </c>
      <c r="E280" s="2">
        <f t="shared" si="141"/>
        <v>1350.5</v>
      </c>
      <c r="F280" s="2">
        <f t="shared" si="142"/>
        <v>1165.5</v>
      </c>
      <c r="G280" s="3">
        <f>G279</f>
        <v>1350.5</v>
      </c>
      <c r="H280" s="3">
        <v>1165.5</v>
      </c>
      <c r="I280" s="3">
        <v>0</v>
      </c>
      <c r="J280" s="3">
        <v>0</v>
      </c>
      <c r="K280" s="3">
        <v>0</v>
      </c>
      <c r="L280" s="3">
        <v>0</v>
      </c>
      <c r="M280" s="3">
        <v>0</v>
      </c>
      <c r="N280" s="3">
        <v>0</v>
      </c>
      <c r="O280" s="122"/>
      <c r="P280" s="4"/>
    </row>
    <row r="281" spans="1:16" ht="15.75">
      <c r="A281" s="85"/>
      <c r="B281" s="96"/>
      <c r="C281" s="71"/>
      <c r="D281" s="1" t="s">
        <v>99</v>
      </c>
      <c r="E281" s="2">
        <f t="shared" si="141"/>
        <v>1350.5</v>
      </c>
      <c r="F281" s="2">
        <f t="shared" si="142"/>
        <v>0</v>
      </c>
      <c r="G281" s="3">
        <f>G280</f>
        <v>1350.5</v>
      </c>
      <c r="H281" s="3">
        <v>0</v>
      </c>
      <c r="I281" s="3">
        <v>0</v>
      </c>
      <c r="J281" s="3">
        <v>0</v>
      </c>
      <c r="K281" s="3">
        <v>0</v>
      </c>
      <c r="L281" s="3">
        <v>0</v>
      </c>
      <c r="M281" s="3">
        <v>0</v>
      </c>
      <c r="N281" s="3">
        <v>0</v>
      </c>
      <c r="O281" s="122"/>
      <c r="P281" s="4"/>
    </row>
    <row r="282" spans="1:16" ht="15.75">
      <c r="A282" s="85"/>
      <c r="B282" s="96"/>
      <c r="C282" s="71"/>
      <c r="D282" s="1" t="s">
        <v>100</v>
      </c>
      <c r="E282" s="2">
        <f t="shared" si="141"/>
        <v>1350.5</v>
      </c>
      <c r="F282" s="2">
        <f t="shared" si="142"/>
        <v>0</v>
      </c>
      <c r="G282" s="3">
        <f>G281</f>
        <v>1350.5</v>
      </c>
      <c r="H282" s="3">
        <v>0</v>
      </c>
      <c r="I282" s="3">
        <v>0</v>
      </c>
      <c r="J282" s="3">
        <v>0</v>
      </c>
      <c r="K282" s="3">
        <v>0</v>
      </c>
      <c r="L282" s="3">
        <v>0</v>
      </c>
      <c r="M282" s="3">
        <v>0</v>
      </c>
      <c r="N282" s="3">
        <v>0</v>
      </c>
      <c r="O282" s="122"/>
      <c r="P282" s="4"/>
    </row>
    <row r="283" spans="1:16" ht="15.75">
      <c r="A283" s="85"/>
      <c r="B283" s="96"/>
      <c r="C283" s="87"/>
      <c r="D283" s="1" t="s">
        <v>101</v>
      </c>
      <c r="E283" s="2">
        <f t="shared" si="141"/>
        <v>1350.5</v>
      </c>
      <c r="F283" s="2">
        <f t="shared" si="142"/>
        <v>0</v>
      </c>
      <c r="G283" s="3">
        <f>G282</f>
        <v>1350.5</v>
      </c>
      <c r="H283" s="3">
        <v>0</v>
      </c>
      <c r="I283" s="3">
        <v>0</v>
      </c>
      <c r="J283" s="3">
        <v>0</v>
      </c>
      <c r="K283" s="3">
        <v>0</v>
      </c>
      <c r="L283" s="3">
        <v>0</v>
      </c>
      <c r="M283" s="3">
        <v>0</v>
      </c>
      <c r="N283" s="3">
        <v>0</v>
      </c>
      <c r="O283" s="122"/>
      <c r="P283" s="4"/>
    </row>
    <row r="284" spans="1:16" s="12" customFormat="1" ht="15" customHeight="1">
      <c r="A284" s="85"/>
      <c r="B284" s="96" t="s">
        <v>29</v>
      </c>
      <c r="C284" s="101"/>
      <c r="D284" s="10" t="s">
        <v>11</v>
      </c>
      <c r="E284" s="2">
        <f>SUM(E285:E290)</f>
        <v>1815.6</v>
      </c>
      <c r="F284" s="2">
        <f aca="true" t="shared" si="143" ref="F284:L284">SUM(F285:F290)</f>
        <v>1515.6</v>
      </c>
      <c r="G284" s="2">
        <f t="shared" si="143"/>
        <v>1500</v>
      </c>
      <c r="H284" s="2">
        <f t="shared" si="143"/>
        <v>1500</v>
      </c>
      <c r="I284" s="2">
        <f t="shared" si="143"/>
        <v>0</v>
      </c>
      <c r="J284" s="2">
        <f t="shared" si="143"/>
        <v>0</v>
      </c>
      <c r="K284" s="2">
        <f t="shared" si="143"/>
        <v>300</v>
      </c>
      <c r="L284" s="2">
        <f t="shared" si="143"/>
        <v>0</v>
      </c>
      <c r="M284" s="2">
        <f>SUM(M285:M290)</f>
        <v>15.6</v>
      </c>
      <c r="N284" s="2">
        <f>SUM(N285:N290)</f>
        <v>15.6</v>
      </c>
      <c r="O284" s="122"/>
      <c r="P284" s="4"/>
    </row>
    <row r="285" spans="1:16" s="26" customFormat="1" ht="30.75" customHeight="1">
      <c r="A285" s="85"/>
      <c r="B285" s="96"/>
      <c r="C285" s="102"/>
      <c r="D285" s="1" t="s">
        <v>12</v>
      </c>
      <c r="E285" s="2">
        <f>G285+I285+K285+M285</f>
        <v>1815.6</v>
      </c>
      <c r="F285" s="2">
        <f>H285+J285+L285+N285</f>
        <v>1515.6</v>
      </c>
      <c r="G285" s="3">
        <v>1500</v>
      </c>
      <c r="H285" s="3">
        <v>1500</v>
      </c>
      <c r="I285" s="3">
        <v>0</v>
      </c>
      <c r="J285" s="3">
        <v>0</v>
      </c>
      <c r="K285" s="3">
        <v>300</v>
      </c>
      <c r="L285" s="3">
        <v>0</v>
      </c>
      <c r="M285" s="3">
        <v>15.6</v>
      </c>
      <c r="N285" s="3">
        <f>M285</f>
        <v>15.6</v>
      </c>
      <c r="O285" s="122"/>
      <c r="P285" s="37"/>
    </row>
    <row r="286" spans="1:16" ht="25.5" customHeight="1">
      <c r="A286" s="85"/>
      <c r="B286" s="96"/>
      <c r="C286" s="103"/>
      <c r="D286" s="1" t="s">
        <v>13</v>
      </c>
      <c r="E286" s="75" t="s">
        <v>109</v>
      </c>
      <c r="F286" s="76"/>
      <c r="G286" s="76"/>
      <c r="H286" s="76"/>
      <c r="I286" s="76"/>
      <c r="J286" s="76"/>
      <c r="K286" s="76"/>
      <c r="L286" s="76"/>
      <c r="M286" s="76"/>
      <c r="N286" s="77"/>
      <c r="O286" s="122"/>
      <c r="P286" s="4"/>
    </row>
    <row r="287" spans="1:16" ht="15" customHeight="1" hidden="1">
      <c r="A287" s="85"/>
      <c r="B287" s="96"/>
      <c r="C287" s="1"/>
      <c r="D287" s="1" t="s">
        <v>14</v>
      </c>
      <c r="E287" s="78"/>
      <c r="F287" s="79"/>
      <c r="G287" s="79"/>
      <c r="H287" s="79"/>
      <c r="I287" s="79"/>
      <c r="J287" s="79"/>
      <c r="K287" s="79"/>
      <c r="L287" s="79"/>
      <c r="M287" s="79"/>
      <c r="N287" s="80"/>
      <c r="O287" s="122"/>
      <c r="P287" s="4"/>
    </row>
    <row r="288" spans="1:16" ht="15" customHeight="1" hidden="1">
      <c r="A288" s="85"/>
      <c r="B288" s="96"/>
      <c r="C288" s="1"/>
      <c r="D288" s="1" t="s">
        <v>15</v>
      </c>
      <c r="E288" s="78"/>
      <c r="F288" s="79"/>
      <c r="G288" s="79"/>
      <c r="H288" s="79"/>
      <c r="I288" s="79"/>
      <c r="J288" s="79"/>
      <c r="K288" s="79"/>
      <c r="L288" s="79"/>
      <c r="M288" s="79"/>
      <c r="N288" s="80"/>
      <c r="O288" s="122"/>
      <c r="P288" s="4"/>
    </row>
    <row r="289" spans="1:16" ht="15" customHeight="1" hidden="1">
      <c r="A289" s="85"/>
      <c r="B289" s="96"/>
      <c r="C289" s="1"/>
      <c r="D289" s="1" t="s">
        <v>16</v>
      </c>
      <c r="E289" s="78"/>
      <c r="F289" s="79"/>
      <c r="G289" s="79"/>
      <c r="H289" s="79"/>
      <c r="I289" s="79"/>
      <c r="J289" s="79"/>
      <c r="K289" s="79"/>
      <c r="L289" s="79"/>
      <c r="M289" s="79"/>
      <c r="N289" s="80"/>
      <c r="O289" s="122"/>
      <c r="P289" s="4"/>
    </row>
    <row r="290" spans="1:16" ht="15" customHeight="1" hidden="1">
      <c r="A290" s="85"/>
      <c r="B290" s="96"/>
      <c r="C290" s="1"/>
      <c r="D290" s="1" t="s">
        <v>17</v>
      </c>
      <c r="E290" s="81"/>
      <c r="F290" s="82"/>
      <c r="G290" s="82"/>
      <c r="H290" s="82"/>
      <c r="I290" s="82"/>
      <c r="J290" s="82"/>
      <c r="K290" s="82"/>
      <c r="L290" s="82"/>
      <c r="M290" s="82"/>
      <c r="N290" s="83"/>
      <c r="O290" s="122"/>
      <c r="P290" s="4"/>
    </row>
    <row r="291" spans="1:16" s="12" customFormat="1" ht="15.75">
      <c r="A291" s="85"/>
      <c r="B291" s="96" t="s">
        <v>50</v>
      </c>
      <c r="C291" s="70" t="s">
        <v>56</v>
      </c>
      <c r="D291" s="10" t="s">
        <v>11</v>
      </c>
      <c r="E291" s="2">
        <f>SUM(E292:E297)</f>
        <v>6500</v>
      </c>
      <c r="F291" s="2">
        <f aca="true" t="shared" si="144" ref="F291:N291">SUM(F292:F297)</f>
        <v>0</v>
      </c>
      <c r="G291" s="2">
        <f t="shared" si="144"/>
        <v>6500</v>
      </c>
      <c r="H291" s="2">
        <f t="shared" si="144"/>
        <v>0</v>
      </c>
      <c r="I291" s="2">
        <f t="shared" si="144"/>
        <v>0</v>
      </c>
      <c r="J291" s="2">
        <f t="shared" si="144"/>
        <v>0</v>
      </c>
      <c r="K291" s="2">
        <f t="shared" si="144"/>
        <v>0</v>
      </c>
      <c r="L291" s="2">
        <f t="shared" si="144"/>
        <v>0</v>
      </c>
      <c r="M291" s="2">
        <f t="shared" si="144"/>
        <v>0</v>
      </c>
      <c r="N291" s="2">
        <f t="shared" si="144"/>
        <v>0</v>
      </c>
      <c r="O291" s="122"/>
      <c r="P291" s="4"/>
    </row>
    <row r="292" spans="1:16" s="26" customFormat="1" ht="31.5" customHeight="1">
      <c r="A292" s="85"/>
      <c r="B292" s="96"/>
      <c r="C292" s="71"/>
      <c r="D292" s="1" t="s">
        <v>12</v>
      </c>
      <c r="E292" s="2">
        <f>G292+I292+K292+M292</f>
        <v>6500</v>
      </c>
      <c r="F292" s="2">
        <f>H292+J292+L292+N292</f>
        <v>0</v>
      </c>
      <c r="G292" s="3">
        <f>6500</f>
        <v>6500</v>
      </c>
      <c r="H292" s="3">
        <v>0</v>
      </c>
      <c r="I292" s="3">
        <v>0</v>
      </c>
      <c r="J292" s="3">
        <v>0</v>
      </c>
      <c r="K292" s="3">
        <v>0</v>
      </c>
      <c r="L292" s="3">
        <v>0</v>
      </c>
      <c r="M292" s="3">
        <v>0</v>
      </c>
      <c r="N292" s="3">
        <f>M292</f>
        <v>0</v>
      </c>
      <c r="O292" s="122"/>
      <c r="P292" s="37"/>
    </row>
    <row r="293" spans="1:16" ht="31.5" customHeight="1">
      <c r="A293" s="85"/>
      <c r="B293" s="96"/>
      <c r="C293" s="87"/>
      <c r="D293" s="1" t="s">
        <v>13</v>
      </c>
      <c r="E293" s="75" t="s">
        <v>109</v>
      </c>
      <c r="F293" s="76"/>
      <c r="G293" s="76"/>
      <c r="H293" s="76"/>
      <c r="I293" s="76"/>
      <c r="J293" s="76"/>
      <c r="K293" s="76"/>
      <c r="L293" s="76"/>
      <c r="M293" s="76"/>
      <c r="N293" s="77"/>
      <c r="O293" s="122"/>
      <c r="P293" s="4"/>
    </row>
    <row r="294" spans="1:16" ht="15" customHeight="1" hidden="1">
      <c r="A294" s="85"/>
      <c r="B294" s="96"/>
      <c r="C294" s="1"/>
      <c r="D294" s="1" t="s">
        <v>14</v>
      </c>
      <c r="E294" s="78"/>
      <c r="F294" s="79"/>
      <c r="G294" s="79"/>
      <c r="H294" s="79"/>
      <c r="I294" s="79"/>
      <c r="J294" s="79"/>
      <c r="K294" s="79"/>
      <c r="L294" s="79"/>
      <c r="M294" s="79"/>
      <c r="N294" s="80"/>
      <c r="O294" s="122"/>
      <c r="P294" s="4"/>
    </row>
    <row r="295" spans="1:16" ht="15" customHeight="1" hidden="1">
      <c r="A295" s="85"/>
      <c r="B295" s="96"/>
      <c r="C295" s="1"/>
      <c r="D295" s="1" t="s">
        <v>15</v>
      </c>
      <c r="E295" s="78"/>
      <c r="F295" s="79"/>
      <c r="G295" s="79"/>
      <c r="H295" s="79"/>
      <c r="I295" s="79"/>
      <c r="J295" s="79"/>
      <c r="K295" s="79"/>
      <c r="L295" s="79"/>
      <c r="M295" s="79"/>
      <c r="N295" s="80"/>
      <c r="O295" s="122"/>
      <c r="P295" s="4"/>
    </row>
    <row r="296" spans="1:16" ht="15" customHeight="1" hidden="1">
      <c r="A296" s="85"/>
      <c r="B296" s="96"/>
      <c r="C296" s="1"/>
      <c r="D296" s="1" t="s">
        <v>16</v>
      </c>
      <c r="E296" s="78"/>
      <c r="F296" s="79"/>
      <c r="G296" s="79"/>
      <c r="H296" s="79"/>
      <c r="I296" s="79"/>
      <c r="J296" s="79"/>
      <c r="K296" s="79"/>
      <c r="L296" s="79"/>
      <c r="M296" s="79"/>
      <c r="N296" s="80"/>
      <c r="O296" s="122"/>
      <c r="P296" s="4"/>
    </row>
    <row r="297" spans="1:16" ht="15" customHeight="1" hidden="1">
      <c r="A297" s="85"/>
      <c r="B297" s="96"/>
      <c r="C297" s="1"/>
      <c r="D297" s="1" t="s">
        <v>17</v>
      </c>
      <c r="E297" s="81"/>
      <c r="F297" s="82"/>
      <c r="G297" s="82"/>
      <c r="H297" s="82"/>
      <c r="I297" s="82"/>
      <c r="J297" s="82"/>
      <c r="K297" s="82"/>
      <c r="L297" s="82"/>
      <c r="M297" s="82"/>
      <c r="N297" s="83"/>
      <c r="O297" s="122"/>
      <c r="P297" s="4"/>
    </row>
    <row r="298" spans="1:16" ht="15" customHeight="1" hidden="1">
      <c r="A298" s="85"/>
      <c r="B298" s="96" t="s">
        <v>30</v>
      </c>
      <c r="C298" s="1"/>
      <c r="D298" s="1" t="s">
        <v>11</v>
      </c>
      <c r="E298" s="2">
        <f>SUM(E299:E304)</f>
        <v>0</v>
      </c>
      <c r="F298" s="2">
        <f aca="true" t="shared" si="145" ref="F298:N298">SUM(F299:F304)</f>
        <v>0</v>
      </c>
      <c r="G298" s="3">
        <f t="shared" si="145"/>
        <v>0</v>
      </c>
      <c r="H298" s="3">
        <f t="shared" si="145"/>
        <v>0</v>
      </c>
      <c r="I298" s="3">
        <f t="shared" si="145"/>
        <v>0</v>
      </c>
      <c r="J298" s="3">
        <f t="shared" si="145"/>
        <v>0</v>
      </c>
      <c r="K298" s="3">
        <f t="shared" si="145"/>
        <v>0</v>
      </c>
      <c r="L298" s="3">
        <f t="shared" si="145"/>
        <v>0</v>
      </c>
      <c r="M298" s="3">
        <f t="shared" si="145"/>
        <v>0</v>
      </c>
      <c r="N298" s="3">
        <f t="shared" si="145"/>
        <v>0</v>
      </c>
      <c r="O298" s="122"/>
      <c r="P298" s="4"/>
    </row>
    <row r="299" spans="1:16" s="26" customFormat="1" ht="15" customHeight="1" hidden="1">
      <c r="A299" s="85"/>
      <c r="B299" s="96" t="s">
        <v>20</v>
      </c>
      <c r="C299" s="1"/>
      <c r="D299" s="1" t="s">
        <v>12</v>
      </c>
      <c r="E299" s="2">
        <f aca="true" t="shared" si="146" ref="E299:F304">G299+I299+K299+M299</f>
        <v>0</v>
      </c>
      <c r="F299" s="2">
        <f t="shared" si="146"/>
        <v>0</v>
      </c>
      <c r="G299" s="3"/>
      <c r="H299" s="3">
        <v>0</v>
      </c>
      <c r="I299" s="3">
        <v>0</v>
      </c>
      <c r="J299" s="3">
        <v>0</v>
      </c>
      <c r="K299" s="3">
        <v>0</v>
      </c>
      <c r="L299" s="3">
        <v>0</v>
      </c>
      <c r="M299" s="3">
        <f aca="true" t="shared" si="147" ref="M299:M304">N299</f>
        <v>0</v>
      </c>
      <c r="N299" s="3">
        <v>0</v>
      </c>
      <c r="O299" s="122"/>
      <c r="P299" s="37"/>
    </row>
    <row r="300" spans="1:16" ht="15" customHeight="1" hidden="1">
      <c r="A300" s="85"/>
      <c r="B300" s="96" t="s">
        <v>21</v>
      </c>
      <c r="C300" s="1"/>
      <c r="D300" s="1" t="s">
        <v>13</v>
      </c>
      <c r="E300" s="2">
        <f t="shared" si="146"/>
        <v>0</v>
      </c>
      <c r="F300" s="2">
        <f t="shared" si="146"/>
        <v>0</v>
      </c>
      <c r="G300" s="3"/>
      <c r="H300" s="3">
        <v>0</v>
      </c>
      <c r="I300" s="3">
        <v>0</v>
      </c>
      <c r="J300" s="3">
        <v>0</v>
      </c>
      <c r="K300" s="3">
        <v>0</v>
      </c>
      <c r="L300" s="3">
        <v>0</v>
      </c>
      <c r="M300" s="3">
        <f t="shared" si="147"/>
        <v>0</v>
      </c>
      <c r="N300" s="3">
        <v>0</v>
      </c>
      <c r="O300" s="122"/>
      <c r="P300" s="4"/>
    </row>
    <row r="301" spans="1:16" ht="15" customHeight="1" hidden="1">
      <c r="A301" s="85"/>
      <c r="B301" s="96"/>
      <c r="C301" s="1"/>
      <c r="D301" s="1" t="s">
        <v>14</v>
      </c>
      <c r="E301" s="2">
        <f t="shared" si="146"/>
        <v>0</v>
      </c>
      <c r="F301" s="2">
        <f t="shared" si="146"/>
        <v>0</v>
      </c>
      <c r="G301" s="3"/>
      <c r="H301" s="3">
        <v>0</v>
      </c>
      <c r="I301" s="3">
        <v>0</v>
      </c>
      <c r="J301" s="3">
        <v>0</v>
      </c>
      <c r="K301" s="3">
        <v>0</v>
      </c>
      <c r="L301" s="3">
        <v>0</v>
      </c>
      <c r="M301" s="3">
        <f t="shared" si="147"/>
        <v>0</v>
      </c>
      <c r="N301" s="3">
        <v>0</v>
      </c>
      <c r="O301" s="122"/>
      <c r="P301" s="4"/>
    </row>
    <row r="302" spans="1:16" ht="15" customHeight="1" hidden="1">
      <c r="A302" s="85"/>
      <c r="B302" s="96"/>
      <c r="C302" s="1"/>
      <c r="D302" s="1" t="s">
        <v>15</v>
      </c>
      <c r="E302" s="2">
        <f t="shared" si="146"/>
        <v>0</v>
      </c>
      <c r="F302" s="2">
        <f t="shared" si="146"/>
        <v>0</v>
      </c>
      <c r="G302" s="3"/>
      <c r="H302" s="3">
        <v>0</v>
      </c>
      <c r="I302" s="3">
        <v>0</v>
      </c>
      <c r="J302" s="3">
        <v>0</v>
      </c>
      <c r="K302" s="3">
        <v>0</v>
      </c>
      <c r="L302" s="3">
        <v>0</v>
      </c>
      <c r="M302" s="3">
        <f t="shared" si="147"/>
        <v>0</v>
      </c>
      <c r="N302" s="3">
        <v>0</v>
      </c>
      <c r="O302" s="122"/>
      <c r="P302" s="4"/>
    </row>
    <row r="303" spans="1:16" ht="15" customHeight="1" hidden="1">
      <c r="A303" s="85"/>
      <c r="B303" s="96"/>
      <c r="C303" s="1"/>
      <c r="D303" s="1" t="s">
        <v>16</v>
      </c>
      <c r="E303" s="2">
        <f t="shared" si="146"/>
        <v>0</v>
      </c>
      <c r="F303" s="2">
        <f t="shared" si="146"/>
        <v>0</v>
      </c>
      <c r="G303" s="3"/>
      <c r="H303" s="3">
        <v>0</v>
      </c>
      <c r="I303" s="3">
        <v>0</v>
      </c>
      <c r="J303" s="3">
        <v>0</v>
      </c>
      <c r="K303" s="3">
        <v>0</v>
      </c>
      <c r="L303" s="3">
        <v>0</v>
      </c>
      <c r="M303" s="3">
        <f t="shared" si="147"/>
        <v>0</v>
      </c>
      <c r="N303" s="3">
        <v>0</v>
      </c>
      <c r="O303" s="122"/>
      <c r="P303" s="4"/>
    </row>
    <row r="304" spans="1:16" ht="15" customHeight="1" hidden="1">
      <c r="A304" s="85"/>
      <c r="B304" s="96"/>
      <c r="C304" s="1"/>
      <c r="D304" s="1" t="s">
        <v>17</v>
      </c>
      <c r="E304" s="2">
        <f t="shared" si="146"/>
        <v>0</v>
      </c>
      <c r="F304" s="2">
        <f t="shared" si="146"/>
        <v>0</v>
      </c>
      <c r="G304" s="3"/>
      <c r="H304" s="3">
        <v>0</v>
      </c>
      <c r="I304" s="3">
        <v>0</v>
      </c>
      <c r="J304" s="3">
        <v>0</v>
      </c>
      <c r="K304" s="3">
        <v>0</v>
      </c>
      <c r="L304" s="3">
        <v>0</v>
      </c>
      <c r="M304" s="3">
        <f t="shared" si="147"/>
        <v>0</v>
      </c>
      <c r="N304" s="3">
        <v>0</v>
      </c>
      <c r="O304" s="122"/>
      <c r="P304" s="4"/>
    </row>
    <row r="305" spans="1:16" ht="15" customHeight="1" hidden="1">
      <c r="A305" s="85"/>
      <c r="B305" s="96" t="s">
        <v>31</v>
      </c>
      <c r="C305" s="1"/>
      <c r="D305" s="1" t="s">
        <v>11</v>
      </c>
      <c r="E305" s="2">
        <f>SUM(E306:E311)</f>
        <v>0</v>
      </c>
      <c r="F305" s="2">
        <f aca="true" t="shared" si="148" ref="F305:N305">SUM(F306:F311)</f>
        <v>0</v>
      </c>
      <c r="G305" s="3">
        <f t="shared" si="148"/>
        <v>0</v>
      </c>
      <c r="H305" s="3">
        <f t="shared" si="148"/>
        <v>0</v>
      </c>
      <c r="I305" s="3">
        <f t="shared" si="148"/>
        <v>0</v>
      </c>
      <c r="J305" s="3">
        <f t="shared" si="148"/>
        <v>0</v>
      </c>
      <c r="K305" s="3">
        <f t="shared" si="148"/>
        <v>0</v>
      </c>
      <c r="L305" s="3">
        <f t="shared" si="148"/>
        <v>0</v>
      </c>
      <c r="M305" s="3">
        <f t="shared" si="148"/>
        <v>0</v>
      </c>
      <c r="N305" s="3">
        <f t="shared" si="148"/>
        <v>0</v>
      </c>
      <c r="O305" s="122"/>
      <c r="P305" s="4"/>
    </row>
    <row r="306" spans="1:16" s="26" customFormat="1" ht="15" customHeight="1" hidden="1">
      <c r="A306" s="85"/>
      <c r="B306" s="96"/>
      <c r="C306" s="1"/>
      <c r="D306" s="1" t="s">
        <v>12</v>
      </c>
      <c r="E306" s="2">
        <f aca="true" t="shared" si="149" ref="E306:F311">G306+I306+K306+M306</f>
        <v>0</v>
      </c>
      <c r="F306" s="2">
        <f t="shared" si="149"/>
        <v>0</v>
      </c>
      <c r="G306" s="3"/>
      <c r="H306" s="3">
        <v>0</v>
      </c>
      <c r="I306" s="3">
        <v>0</v>
      </c>
      <c r="J306" s="3">
        <v>0</v>
      </c>
      <c r="K306" s="3">
        <v>0</v>
      </c>
      <c r="L306" s="3">
        <v>0</v>
      </c>
      <c r="M306" s="3">
        <f aca="true" t="shared" si="150" ref="M306:M311">N306</f>
        <v>0</v>
      </c>
      <c r="N306" s="3">
        <v>0</v>
      </c>
      <c r="O306" s="122"/>
      <c r="P306" s="37"/>
    </row>
    <row r="307" spans="1:16" ht="15" customHeight="1" hidden="1">
      <c r="A307" s="85"/>
      <c r="B307" s="96"/>
      <c r="C307" s="1"/>
      <c r="D307" s="1" t="s">
        <v>13</v>
      </c>
      <c r="E307" s="2">
        <f t="shared" si="149"/>
        <v>0</v>
      </c>
      <c r="F307" s="2">
        <f t="shared" si="149"/>
        <v>0</v>
      </c>
      <c r="G307" s="3"/>
      <c r="H307" s="3">
        <v>0</v>
      </c>
      <c r="I307" s="3">
        <v>0</v>
      </c>
      <c r="J307" s="3">
        <v>0</v>
      </c>
      <c r="K307" s="3">
        <v>0</v>
      </c>
      <c r="L307" s="3">
        <v>0</v>
      </c>
      <c r="M307" s="3">
        <f t="shared" si="150"/>
        <v>0</v>
      </c>
      <c r="N307" s="3">
        <v>0</v>
      </c>
      <c r="O307" s="122"/>
      <c r="P307" s="4"/>
    </row>
    <row r="308" spans="1:16" ht="15" customHeight="1" hidden="1">
      <c r="A308" s="85"/>
      <c r="B308" s="96"/>
      <c r="C308" s="1"/>
      <c r="D308" s="1" t="s">
        <v>14</v>
      </c>
      <c r="E308" s="2">
        <f t="shared" si="149"/>
        <v>0</v>
      </c>
      <c r="F308" s="2">
        <f t="shared" si="149"/>
        <v>0</v>
      </c>
      <c r="G308" s="3"/>
      <c r="H308" s="3">
        <v>0</v>
      </c>
      <c r="I308" s="3">
        <v>0</v>
      </c>
      <c r="J308" s="3">
        <v>0</v>
      </c>
      <c r="K308" s="3">
        <v>0</v>
      </c>
      <c r="L308" s="3">
        <v>0</v>
      </c>
      <c r="M308" s="3">
        <f t="shared" si="150"/>
        <v>0</v>
      </c>
      <c r="N308" s="3">
        <v>0</v>
      </c>
      <c r="O308" s="122"/>
      <c r="P308" s="4"/>
    </row>
    <row r="309" spans="1:16" ht="15" customHeight="1" hidden="1">
      <c r="A309" s="85"/>
      <c r="B309" s="96"/>
      <c r="C309" s="1"/>
      <c r="D309" s="1" t="s">
        <v>15</v>
      </c>
      <c r="E309" s="2">
        <f t="shared" si="149"/>
        <v>0</v>
      </c>
      <c r="F309" s="2">
        <f t="shared" si="149"/>
        <v>0</v>
      </c>
      <c r="G309" s="3"/>
      <c r="H309" s="3">
        <v>0</v>
      </c>
      <c r="I309" s="3">
        <v>0</v>
      </c>
      <c r="J309" s="3">
        <v>0</v>
      </c>
      <c r="K309" s="3">
        <v>0</v>
      </c>
      <c r="L309" s="3">
        <v>0</v>
      </c>
      <c r="M309" s="3">
        <f t="shared" si="150"/>
        <v>0</v>
      </c>
      <c r="N309" s="3">
        <v>0</v>
      </c>
      <c r="O309" s="122"/>
      <c r="P309" s="4"/>
    </row>
    <row r="310" spans="1:16" ht="15" customHeight="1" hidden="1">
      <c r="A310" s="85"/>
      <c r="B310" s="96"/>
      <c r="C310" s="1"/>
      <c r="D310" s="1" t="s">
        <v>16</v>
      </c>
      <c r="E310" s="2">
        <f t="shared" si="149"/>
        <v>0</v>
      </c>
      <c r="F310" s="2">
        <f t="shared" si="149"/>
        <v>0</v>
      </c>
      <c r="G310" s="3"/>
      <c r="H310" s="3">
        <v>0</v>
      </c>
      <c r="I310" s="3">
        <v>0</v>
      </c>
      <c r="J310" s="3">
        <v>0</v>
      </c>
      <c r="K310" s="3">
        <v>0</v>
      </c>
      <c r="L310" s="3">
        <v>0</v>
      </c>
      <c r="M310" s="3">
        <f t="shared" si="150"/>
        <v>0</v>
      </c>
      <c r="N310" s="3">
        <v>0</v>
      </c>
      <c r="O310" s="122"/>
      <c r="P310" s="4"/>
    </row>
    <row r="311" spans="1:16" ht="15" customHeight="1" hidden="1">
      <c r="A311" s="85"/>
      <c r="B311" s="96"/>
      <c r="C311" s="1"/>
      <c r="D311" s="1" t="s">
        <v>17</v>
      </c>
      <c r="E311" s="2">
        <f t="shared" si="149"/>
        <v>0</v>
      </c>
      <c r="F311" s="2">
        <f t="shared" si="149"/>
        <v>0</v>
      </c>
      <c r="G311" s="3"/>
      <c r="H311" s="3">
        <v>0</v>
      </c>
      <c r="I311" s="3">
        <v>0</v>
      </c>
      <c r="J311" s="3">
        <v>0</v>
      </c>
      <c r="K311" s="3">
        <v>0</v>
      </c>
      <c r="L311" s="3">
        <v>0</v>
      </c>
      <c r="M311" s="3">
        <f t="shared" si="150"/>
        <v>0</v>
      </c>
      <c r="N311" s="3">
        <v>0</v>
      </c>
      <c r="O311" s="122"/>
      <c r="P311" s="4"/>
    </row>
    <row r="312" spans="1:16" s="12" customFormat="1" ht="60" customHeight="1">
      <c r="A312" s="85"/>
      <c r="B312" s="96" t="s">
        <v>40</v>
      </c>
      <c r="C312" s="70" t="s">
        <v>56</v>
      </c>
      <c r="D312" s="10" t="s">
        <v>11</v>
      </c>
      <c r="E312" s="2">
        <f>SUM(E313:E318)</f>
        <v>1145</v>
      </c>
      <c r="F312" s="2">
        <f aca="true" t="shared" si="151" ref="F312:N312">SUM(F313:F318)</f>
        <v>445</v>
      </c>
      <c r="G312" s="2">
        <f t="shared" si="151"/>
        <v>930</v>
      </c>
      <c r="H312" s="2">
        <f t="shared" si="151"/>
        <v>430</v>
      </c>
      <c r="I312" s="2">
        <f t="shared" si="151"/>
        <v>100</v>
      </c>
      <c r="J312" s="2">
        <f t="shared" si="151"/>
        <v>0</v>
      </c>
      <c r="K312" s="2">
        <f t="shared" si="151"/>
        <v>100</v>
      </c>
      <c r="L312" s="2">
        <f t="shared" si="151"/>
        <v>0</v>
      </c>
      <c r="M312" s="2">
        <f t="shared" si="151"/>
        <v>15</v>
      </c>
      <c r="N312" s="2">
        <f t="shared" si="151"/>
        <v>15</v>
      </c>
      <c r="O312" s="122"/>
      <c r="P312" s="4"/>
    </row>
    <row r="313" spans="1:16" s="26" customFormat="1" ht="58.5" customHeight="1">
      <c r="A313" s="85"/>
      <c r="B313" s="96"/>
      <c r="C313" s="71"/>
      <c r="D313" s="1" t="s">
        <v>12</v>
      </c>
      <c r="E313" s="2">
        <f>G313+I313+K313+M313</f>
        <v>1145</v>
      </c>
      <c r="F313" s="2">
        <f>H313+J313+L313+N313</f>
        <v>445</v>
      </c>
      <c r="G313" s="3">
        <f>500+H313</f>
        <v>930</v>
      </c>
      <c r="H313" s="3">
        <v>430</v>
      </c>
      <c r="I313" s="3">
        <v>100</v>
      </c>
      <c r="J313" s="3">
        <v>0</v>
      </c>
      <c r="K313" s="3">
        <v>100</v>
      </c>
      <c r="L313" s="3">
        <v>0</v>
      </c>
      <c r="M313" s="3">
        <v>15</v>
      </c>
      <c r="N313" s="3">
        <f>M313</f>
        <v>15</v>
      </c>
      <c r="O313" s="122"/>
      <c r="P313" s="37"/>
    </row>
    <row r="314" spans="1:16" ht="81.75" customHeight="1">
      <c r="A314" s="85"/>
      <c r="B314" s="96"/>
      <c r="C314" s="87"/>
      <c r="D314" s="1" t="s">
        <v>13</v>
      </c>
      <c r="E314" s="75" t="s">
        <v>110</v>
      </c>
      <c r="F314" s="76"/>
      <c r="G314" s="76"/>
      <c r="H314" s="76"/>
      <c r="I314" s="76"/>
      <c r="J314" s="76"/>
      <c r="K314" s="76"/>
      <c r="L314" s="76"/>
      <c r="M314" s="76"/>
      <c r="N314" s="77"/>
      <c r="O314" s="122"/>
      <c r="P314" s="4"/>
    </row>
    <row r="315" spans="1:16" ht="15" customHeight="1" hidden="1">
      <c r="A315" s="85"/>
      <c r="B315" s="96"/>
      <c r="C315" s="1"/>
      <c r="D315" s="1" t="s">
        <v>14</v>
      </c>
      <c r="E315" s="78"/>
      <c r="F315" s="79"/>
      <c r="G315" s="79"/>
      <c r="H315" s="79"/>
      <c r="I315" s="79"/>
      <c r="J315" s="79"/>
      <c r="K315" s="79"/>
      <c r="L315" s="79"/>
      <c r="M315" s="79"/>
      <c r="N315" s="80"/>
      <c r="O315" s="122"/>
      <c r="P315" s="4"/>
    </row>
    <row r="316" spans="1:16" ht="15" customHeight="1" hidden="1">
      <c r="A316" s="85"/>
      <c r="B316" s="96"/>
      <c r="C316" s="1"/>
      <c r="D316" s="1" t="s">
        <v>15</v>
      </c>
      <c r="E316" s="78"/>
      <c r="F316" s="79"/>
      <c r="G316" s="79"/>
      <c r="H316" s="79"/>
      <c r="I316" s="79"/>
      <c r="J316" s="79"/>
      <c r="K316" s="79"/>
      <c r="L316" s="79"/>
      <c r="M316" s="79"/>
      <c r="N316" s="80"/>
      <c r="O316" s="122"/>
      <c r="P316" s="4"/>
    </row>
    <row r="317" spans="1:16" ht="15" customHeight="1" hidden="1">
      <c r="A317" s="85"/>
      <c r="B317" s="96"/>
      <c r="C317" s="1"/>
      <c r="D317" s="1" t="s">
        <v>16</v>
      </c>
      <c r="E317" s="78"/>
      <c r="F317" s="79"/>
      <c r="G317" s="79"/>
      <c r="H317" s="79"/>
      <c r="I317" s="79"/>
      <c r="J317" s="79"/>
      <c r="K317" s="79"/>
      <c r="L317" s="79"/>
      <c r="M317" s="79"/>
      <c r="N317" s="80"/>
      <c r="O317" s="122"/>
      <c r="P317" s="4"/>
    </row>
    <row r="318" spans="1:16" ht="15" customHeight="1" hidden="1">
      <c r="A318" s="85"/>
      <c r="B318" s="96"/>
      <c r="C318" s="1"/>
      <c r="D318" s="1" t="s">
        <v>17</v>
      </c>
      <c r="E318" s="81"/>
      <c r="F318" s="82"/>
      <c r="G318" s="82"/>
      <c r="H318" s="82"/>
      <c r="I318" s="82"/>
      <c r="J318" s="82"/>
      <c r="K318" s="82"/>
      <c r="L318" s="82"/>
      <c r="M318" s="82"/>
      <c r="N318" s="83"/>
      <c r="O318" s="122"/>
      <c r="P318" s="4"/>
    </row>
    <row r="319" spans="1:16" s="12" customFormat="1" ht="15.75">
      <c r="A319" s="85"/>
      <c r="B319" s="96" t="s">
        <v>33</v>
      </c>
      <c r="C319" s="70" t="s">
        <v>56</v>
      </c>
      <c r="D319" s="10" t="s">
        <v>11</v>
      </c>
      <c r="E319" s="2">
        <f>SUM(E320:E325)</f>
        <v>700</v>
      </c>
      <c r="F319" s="2">
        <f aca="true" t="shared" si="152" ref="F319:N319">SUM(F320:F325)</f>
        <v>250</v>
      </c>
      <c r="G319" s="2">
        <f t="shared" si="152"/>
        <v>450</v>
      </c>
      <c r="H319" s="2">
        <f t="shared" si="152"/>
        <v>0</v>
      </c>
      <c r="I319" s="2">
        <f t="shared" si="152"/>
        <v>0</v>
      </c>
      <c r="J319" s="2">
        <f t="shared" si="152"/>
        <v>0</v>
      </c>
      <c r="K319" s="2">
        <f t="shared" si="152"/>
        <v>0</v>
      </c>
      <c r="L319" s="2">
        <f t="shared" si="152"/>
        <v>0</v>
      </c>
      <c r="M319" s="2">
        <f t="shared" si="152"/>
        <v>250</v>
      </c>
      <c r="N319" s="2">
        <f t="shared" si="152"/>
        <v>250</v>
      </c>
      <c r="O319" s="122"/>
      <c r="P319" s="4"/>
    </row>
    <row r="320" spans="1:16" s="26" customFormat="1" ht="15.75">
      <c r="A320" s="85"/>
      <c r="B320" s="96"/>
      <c r="C320" s="71"/>
      <c r="D320" s="1" t="s">
        <v>12</v>
      </c>
      <c r="E320" s="2">
        <f>G320+I320+K320+M320</f>
        <v>700</v>
      </c>
      <c r="F320" s="2">
        <f>H320+J320+L320+N320</f>
        <v>250</v>
      </c>
      <c r="G320" s="3">
        <f>450+H320</f>
        <v>450</v>
      </c>
      <c r="H320" s="3">
        <v>0</v>
      </c>
      <c r="I320" s="3">
        <v>0</v>
      </c>
      <c r="J320" s="3">
        <v>0</v>
      </c>
      <c r="K320" s="3">
        <v>0</v>
      </c>
      <c r="L320" s="3">
        <v>0</v>
      </c>
      <c r="M320" s="3">
        <v>250</v>
      </c>
      <c r="N320" s="3">
        <f>M320</f>
        <v>250</v>
      </c>
      <c r="O320" s="122"/>
      <c r="P320" s="37"/>
    </row>
    <row r="321" spans="1:16" ht="24" customHeight="1">
      <c r="A321" s="85"/>
      <c r="B321" s="96"/>
      <c r="C321" s="87"/>
      <c r="D321" s="1" t="s">
        <v>13</v>
      </c>
      <c r="E321" s="75" t="s">
        <v>110</v>
      </c>
      <c r="F321" s="76"/>
      <c r="G321" s="76"/>
      <c r="H321" s="76"/>
      <c r="I321" s="76"/>
      <c r="J321" s="76"/>
      <c r="K321" s="76"/>
      <c r="L321" s="76"/>
      <c r="M321" s="76"/>
      <c r="N321" s="77"/>
      <c r="O321" s="122"/>
      <c r="P321" s="4"/>
    </row>
    <row r="322" spans="1:16" ht="15" customHeight="1" hidden="1">
      <c r="A322" s="85"/>
      <c r="B322" s="96"/>
      <c r="C322" s="1"/>
      <c r="D322" s="1" t="s">
        <v>14</v>
      </c>
      <c r="E322" s="78"/>
      <c r="F322" s="79"/>
      <c r="G322" s="79"/>
      <c r="H322" s="79"/>
      <c r="I322" s="79"/>
      <c r="J322" s="79"/>
      <c r="K322" s="79"/>
      <c r="L322" s="79"/>
      <c r="M322" s="79"/>
      <c r="N322" s="80"/>
      <c r="O322" s="122"/>
      <c r="P322" s="4"/>
    </row>
    <row r="323" spans="1:16" ht="15" customHeight="1" hidden="1">
      <c r="A323" s="85"/>
      <c r="B323" s="96"/>
      <c r="C323" s="1"/>
      <c r="D323" s="1" t="s">
        <v>15</v>
      </c>
      <c r="E323" s="78"/>
      <c r="F323" s="79"/>
      <c r="G323" s="79"/>
      <c r="H323" s="79"/>
      <c r="I323" s="79"/>
      <c r="J323" s="79"/>
      <c r="K323" s="79"/>
      <c r="L323" s="79"/>
      <c r="M323" s="79"/>
      <c r="N323" s="80"/>
      <c r="O323" s="122"/>
      <c r="P323" s="4"/>
    </row>
    <row r="324" spans="1:16" ht="15" customHeight="1" hidden="1">
      <c r="A324" s="85"/>
      <c r="B324" s="96"/>
      <c r="C324" s="1"/>
      <c r="D324" s="1" t="s">
        <v>16</v>
      </c>
      <c r="E324" s="78"/>
      <c r="F324" s="79"/>
      <c r="G324" s="79"/>
      <c r="H324" s="79"/>
      <c r="I324" s="79"/>
      <c r="J324" s="79"/>
      <c r="K324" s="79"/>
      <c r="L324" s="79"/>
      <c r="M324" s="79"/>
      <c r="N324" s="80"/>
      <c r="O324" s="122"/>
      <c r="P324" s="4"/>
    </row>
    <row r="325" spans="1:16" ht="15" customHeight="1" hidden="1">
      <c r="A325" s="85"/>
      <c r="B325" s="96"/>
      <c r="C325" s="1"/>
      <c r="D325" s="1" t="s">
        <v>17</v>
      </c>
      <c r="E325" s="81"/>
      <c r="F325" s="82"/>
      <c r="G325" s="82"/>
      <c r="H325" s="82"/>
      <c r="I325" s="82"/>
      <c r="J325" s="82"/>
      <c r="K325" s="82"/>
      <c r="L325" s="82"/>
      <c r="M325" s="82"/>
      <c r="N325" s="83"/>
      <c r="O325" s="122"/>
      <c r="P325" s="4"/>
    </row>
    <row r="326" spans="1:16" s="12" customFormat="1" ht="15.75">
      <c r="A326" s="85"/>
      <c r="B326" s="96" t="s">
        <v>34</v>
      </c>
      <c r="C326" s="70" t="s">
        <v>56</v>
      </c>
      <c r="D326" s="10" t="s">
        <v>11</v>
      </c>
      <c r="E326" s="2">
        <f>SUM(E327:E332)</f>
        <v>800</v>
      </c>
      <c r="F326" s="2">
        <f aca="true" t="shared" si="153" ref="F326:N326">SUM(F327:F332)</f>
        <v>0</v>
      </c>
      <c r="G326" s="2">
        <f t="shared" si="153"/>
        <v>600</v>
      </c>
      <c r="H326" s="2">
        <f t="shared" si="153"/>
        <v>0</v>
      </c>
      <c r="I326" s="2">
        <f t="shared" si="153"/>
        <v>100</v>
      </c>
      <c r="J326" s="2">
        <f t="shared" si="153"/>
        <v>0</v>
      </c>
      <c r="K326" s="2">
        <f t="shared" si="153"/>
        <v>100</v>
      </c>
      <c r="L326" s="2">
        <f t="shared" si="153"/>
        <v>0</v>
      </c>
      <c r="M326" s="2">
        <f t="shared" si="153"/>
        <v>0</v>
      </c>
      <c r="N326" s="2">
        <f t="shared" si="153"/>
        <v>0</v>
      </c>
      <c r="O326" s="122"/>
      <c r="P326" s="4"/>
    </row>
    <row r="327" spans="1:16" s="26" customFormat="1" ht="15.75">
      <c r="A327" s="85"/>
      <c r="B327" s="96"/>
      <c r="C327" s="71"/>
      <c r="D327" s="1" t="s">
        <v>12</v>
      </c>
      <c r="E327" s="2">
        <f>G327+I327+K327+M327</f>
        <v>800</v>
      </c>
      <c r="F327" s="2">
        <f>H327+J327+L327+N327</f>
        <v>0</v>
      </c>
      <c r="G327" s="3">
        <f>600+H327</f>
        <v>600</v>
      </c>
      <c r="H327" s="3">
        <v>0</v>
      </c>
      <c r="I327" s="3">
        <v>100</v>
      </c>
      <c r="J327" s="3">
        <v>0</v>
      </c>
      <c r="K327" s="3">
        <v>100</v>
      </c>
      <c r="L327" s="3">
        <v>0</v>
      </c>
      <c r="M327" s="3">
        <v>0</v>
      </c>
      <c r="N327" s="3">
        <f>M327</f>
        <v>0</v>
      </c>
      <c r="O327" s="122"/>
      <c r="P327" s="37"/>
    </row>
    <row r="328" spans="1:16" ht="15.75">
      <c r="A328" s="85"/>
      <c r="B328" s="96"/>
      <c r="C328" s="87"/>
      <c r="D328" s="1" t="s">
        <v>13</v>
      </c>
      <c r="E328" s="75" t="s">
        <v>111</v>
      </c>
      <c r="F328" s="76"/>
      <c r="G328" s="76"/>
      <c r="H328" s="76"/>
      <c r="I328" s="76"/>
      <c r="J328" s="76"/>
      <c r="K328" s="76"/>
      <c r="L328" s="76"/>
      <c r="M328" s="76"/>
      <c r="N328" s="77"/>
      <c r="O328" s="122"/>
      <c r="P328" s="4"/>
    </row>
    <row r="329" spans="1:16" ht="15" customHeight="1" hidden="1">
      <c r="A329" s="85"/>
      <c r="B329" s="96"/>
      <c r="C329" s="1"/>
      <c r="D329" s="1" t="s">
        <v>14</v>
      </c>
      <c r="E329" s="78"/>
      <c r="F329" s="79"/>
      <c r="G329" s="79"/>
      <c r="H329" s="79"/>
      <c r="I329" s="79"/>
      <c r="J329" s="79"/>
      <c r="K329" s="79"/>
      <c r="L329" s="79"/>
      <c r="M329" s="79"/>
      <c r="N329" s="80"/>
      <c r="O329" s="122"/>
      <c r="P329" s="4"/>
    </row>
    <row r="330" spans="1:16" ht="15" customHeight="1" hidden="1">
      <c r="A330" s="85"/>
      <c r="B330" s="96"/>
      <c r="C330" s="1"/>
      <c r="D330" s="1" t="s">
        <v>15</v>
      </c>
      <c r="E330" s="78"/>
      <c r="F330" s="79"/>
      <c r="G330" s="79"/>
      <c r="H330" s="79"/>
      <c r="I330" s="79"/>
      <c r="J330" s="79"/>
      <c r="K330" s="79"/>
      <c r="L330" s="79"/>
      <c r="M330" s="79"/>
      <c r="N330" s="80"/>
      <c r="O330" s="122"/>
      <c r="P330" s="4"/>
    </row>
    <row r="331" spans="1:16" ht="15" customHeight="1" hidden="1">
      <c r="A331" s="85"/>
      <c r="B331" s="96"/>
      <c r="C331" s="1"/>
      <c r="D331" s="1" t="s">
        <v>16</v>
      </c>
      <c r="E331" s="78"/>
      <c r="F331" s="79"/>
      <c r="G331" s="79"/>
      <c r="H331" s="79"/>
      <c r="I331" s="79"/>
      <c r="J331" s="79"/>
      <c r="K331" s="79"/>
      <c r="L331" s="79"/>
      <c r="M331" s="79"/>
      <c r="N331" s="80"/>
      <c r="O331" s="122"/>
      <c r="P331" s="4"/>
    </row>
    <row r="332" spans="1:16" ht="15" customHeight="1" hidden="1">
      <c r="A332" s="85"/>
      <c r="B332" s="96"/>
      <c r="C332" s="1"/>
      <c r="D332" s="1" t="s">
        <v>17</v>
      </c>
      <c r="E332" s="81"/>
      <c r="F332" s="82"/>
      <c r="G332" s="82"/>
      <c r="H332" s="82"/>
      <c r="I332" s="82"/>
      <c r="J332" s="82"/>
      <c r="K332" s="82"/>
      <c r="L332" s="82"/>
      <c r="M332" s="82"/>
      <c r="N332" s="83"/>
      <c r="O332" s="122"/>
      <c r="P332" s="4"/>
    </row>
    <row r="333" spans="1:16" s="12" customFormat="1" ht="15.75">
      <c r="A333" s="85"/>
      <c r="B333" s="96" t="s">
        <v>35</v>
      </c>
      <c r="C333" s="70" t="s">
        <v>56</v>
      </c>
      <c r="D333" s="10" t="s">
        <v>11</v>
      </c>
      <c r="E333" s="2">
        <f aca="true" t="shared" si="154" ref="E333:N333">SUM(E334:E339)</f>
        <v>1940</v>
      </c>
      <c r="F333" s="2">
        <f t="shared" si="154"/>
        <v>940</v>
      </c>
      <c r="G333" s="2">
        <f t="shared" si="154"/>
        <v>1690</v>
      </c>
      <c r="H333" s="2">
        <f t="shared" si="154"/>
        <v>890</v>
      </c>
      <c r="I333" s="2">
        <f t="shared" si="154"/>
        <v>0</v>
      </c>
      <c r="J333" s="2">
        <f t="shared" si="154"/>
        <v>0</v>
      </c>
      <c r="K333" s="2">
        <f t="shared" si="154"/>
        <v>200</v>
      </c>
      <c r="L333" s="2">
        <f t="shared" si="154"/>
        <v>0</v>
      </c>
      <c r="M333" s="2">
        <f t="shared" si="154"/>
        <v>50</v>
      </c>
      <c r="N333" s="2">
        <f t="shared" si="154"/>
        <v>50</v>
      </c>
      <c r="O333" s="122"/>
      <c r="P333" s="4"/>
    </row>
    <row r="334" spans="1:16" s="26" customFormat="1" ht="24" customHeight="1">
      <c r="A334" s="85"/>
      <c r="B334" s="96"/>
      <c r="C334" s="71"/>
      <c r="D334" s="1" t="s">
        <v>12</v>
      </c>
      <c r="E334" s="2">
        <f>G334+I334+K334+M334</f>
        <v>1940</v>
      </c>
      <c r="F334" s="2">
        <f>H334+J334+L334+N334</f>
        <v>940</v>
      </c>
      <c r="G334" s="3">
        <f>800+H334</f>
        <v>1690</v>
      </c>
      <c r="H334" s="3">
        <f>890</f>
        <v>890</v>
      </c>
      <c r="I334" s="3">
        <v>0</v>
      </c>
      <c r="J334" s="3">
        <v>0</v>
      </c>
      <c r="K334" s="3">
        <f>200</f>
        <v>200</v>
      </c>
      <c r="L334" s="3">
        <v>0</v>
      </c>
      <c r="M334" s="3">
        <v>50</v>
      </c>
      <c r="N334" s="3">
        <v>50</v>
      </c>
      <c r="O334" s="122"/>
      <c r="P334" s="37"/>
    </row>
    <row r="335" spans="1:16" ht="58.5" customHeight="1">
      <c r="A335" s="85"/>
      <c r="B335" s="96"/>
      <c r="C335" s="87"/>
      <c r="D335" s="1" t="s">
        <v>13</v>
      </c>
      <c r="E335" s="75" t="s">
        <v>111</v>
      </c>
      <c r="F335" s="76"/>
      <c r="G335" s="76"/>
      <c r="H335" s="76"/>
      <c r="I335" s="76"/>
      <c r="J335" s="76"/>
      <c r="K335" s="76"/>
      <c r="L335" s="76"/>
      <c r="M335" s="76"/>
      <c r="N335" s="77"/>
      <c r="O335" s="122"/>
      <c r="P335" s="4"/>
    </row>
    <row r="336" spans="1:16" ht="15" customHeight="1" hidden="1">
      <c r="A336" s="85"/>
      <c r="B336" s="96"/>
      <c r="C336" s="1"/>
      <c r="D336" s="1" t="s">
        <v>14</v>
      </c>
      <c r="E336" s="78"/>
      <c r="F336" s="79"/>
      <c r="G336" s="79"/>
      <c r="H336" s="79"/>
      <c r="I336" s="79"/>
      <c r="J336" s="79"/>
      <c r="K336" s="79"/>
      <c r="L336" s="79"/>
      <c r="M336" s="79"/>
      <c r="N336" s="80"/>
      <c r="O336" s="122"/>
      <c r="P336" s="4"/>
    </row>
    <row r="337" spans="1:16" ht="15" customHeight="1" hidden="1">
      <c r="A337" s="85"/>
      <c r="B337" s="96"/>
      <c r="C337" s="1"/>
      <c r="D337" s="1" t="s">
        <v>15</v>
      </c>
      <c r="E337" s="78"/>
      <c r="F337" s="79"/>
      <c r="G337" s="79"/>
      <c r="H337" s="79"/>
      <c r="I337" s="79"/>
      <c r="J337" s="79"/>
      <c r="K337" s="79"/>
      <c r="L337" s="79"/>
      <c r="M337" s="79"/>
      <c r="N337" s="80"/>
      <c r="O337" s="122"/>
      <c r="P337" s="4"/>
    </row>
    <row r="338" spans="1:16" ht="15" customHeight="1" hidden="1">
      <c r="A338" s="85"/>
      <c r="B338" s="96"/>
      <c r="C338" s="1"/>
      <c r="D338" s="1" t="s">
        <v>16</v>
      </c>
      <c r="E338" s="78"/>
      <c r="F338" s="79"/>
      <c r="G338" s="79"/>
      <c r="H338" s="79"/>
      <c r="I338" s="79"/>
      <c r="J338" s="79"/>
      <c r="K338" s="79"/>
      <c r="L338" s="79"/>
      <c r="M338" s="79"/>
      <c r="N338" s="80"/>
      <c r="O338" s="122"/>
      <c r="P338" s="4"/>
    </row>
    <row r="339" spans="1:16" ht="15" customHeight="1" hidden="1">
      <c r="A339" s="85"/>
      <c r="B339" s="96"/>
      <c r="C339" s="1"/>
      <c r="D339" s="1" t="s">
        <v>17</v>
      </c>
      <c r="E339" s="81"/>
      <c r="F339" s="82"/>
      <c r="G339" s="82"/>
      <c r="H339" s="82"/>
      <c r="I339" s="82"/>
      <c r="J339" s="82"/>
      <c r="K339" s="82"/>
      <c r="L339" s="82"/>
      <c r="M339" s="82"/>
      <c r="N339" s="83"/>
      <c r="O339" s="122"/>
      <c r="P339" s="4"/>
    </row>
    <row r="340" spans="1:16" s="12" customFormat="1" ht="15">
      <c r="A340" s="85"/>
      <c r="B340" s="95" t="s">
        <v>38</v>
      </c>
      <c r="C340" s="20"/>
      <c r="D340" s="10" t="s">
        <v>11</v>
      </c>
      <c r="E340" s="2">
        <f>SUM(E341:E351)</f>
        <v>5524.399999999999</v>
      </c>
      <c r="F340" s="2">
        <f aca="true" t="shared" si="155" ref="F340:N340">SUM(F341:F351)</f>
        <v>2231.7</v>
      </c>
      <c r="G340" s="2">
        <f t="shared" si="155"/>
        <v>5460.999999999999</v>
      </c>
      <c r="H340" s="2">
        <f t="shared" si="155"/>
        <v>2168.3</v>
      </c>
      <c r="I340" s="2">
        <f t="shared" si="155"/>
        <v>0</v>
      </c>
      <c r="J340" s="2">
        <f t="shared" si="155"/>
        <v>0</v>
      </c>
      <c r="K340" s="2">
        <f t="shared" si="155"/>
        <v>0</v>
      </c>
      <c r="L340" s="2">
        <f t="shared" si="155"/>
        <v>0</v>
      </c>
      <c r="M340" s="2">
        <f t="shared" si="155"/>
        <v>63.4</v>
      </c>
      <c r="N340" s="2">
        <f t="shared" si="155"/>
        <v>63.4</v>
      </c>
      <c r="O340" s="122"/>
      <c r="P340" s="4"/>
    </row>
    <row r="341" spans="1:16" s="26" customFormat="1" ht="26.25">
      <c r="A341" s="85"/>
      <c r="B341" s="95"/>
      <c r="C341" s="17" t="s">
        <v>69</v>
      </c>
      <c r="D341" s="1" t="s">
        <v>12</v>
      </c>
      <c r="E341" s="2">
        <f aca="true" t="shared" si="156" ref="E341:F345">G341+I341+K341+M341</f>
        <v>362.1</v>
      </c>
      <c r="F341" s="2">
        <f t="shared" si="156"/>
        <v>248</v>
      </c>
      <c r="G341" s="3">
        <v>314.1</v>
      </c>
      <c r="H341" s="3">
        <v>200</v>
      </c>
      <c r="I341" s="3"/>
      <c r="J341" s="3">
        <v>0</v>
      </c>
      <c r="K341" s="3">
        <v>0</v>
      </c>
      <c r="L341" s="3">
        <v>0</v>
      </c>
      <c r="M341" s="3">
        <v>48</v>
      </c>
      <c r="N341" s="3">
        <f>M341</f>
        <v>48</v>
      </c>
      <c r="O341" s="122"/>
      <c r="P341" s="37"/>
    </row>
    <row r="342" spans="1:16" ht="25.5" customHeight="1">
      <c r="A342" s="85"/>
      <c r="B342" s="95"/>
      <c r="C342" s="89" t="s">
        <v>55</v>
      </c>
      <c r="D342" s="1" t="s">
        <v>13</v>
      </c>
      <c r="E342" s="2">
        <f t="shared" si="156"/>
        <v>1470.4</v>
      </c>
      <c r="F342" s="2">
        <f t="shared" si="156"/>
        <v>314.1</v>
      </c>
      <c r="G342" s="3">
        <f>314.1+1156.3</f>
        <v>1470.4</v>
      </c>
      <c r="H342" s="3">
        <v>314.1</v>
      </c>
      <c r="I342" s="3">
        <v>0</v>
      </c>
      <c r="J342" s="3">
        <v>0</v>
      </c>
      <c r="K342" s="3">
        <f>1.2*K341</f>
        <v>0</v>
      </c>
      <c r="L342" s="3">
        <v>0</v>
      </c>
      <c r="M342" s="3">
        <v>0</v>
      </c>
      <c r="N342" s="3">
        <v>0</v>
      </c>
      <c r="O342" s="122"/>
      <c r="P342" s="37"/>
    </row>
    <row r="343" spans="1:16" ht="15" customHeight="1">
      <c r="A343" s="85"/>
      <c r="B343" s="95"/>
      <c r="C343" s="89"/>
      <c r="D343" s="1" t="s">
        <v>14</v>
      </c>
      <c r="E343" s="2">
        <f t="shared" si="156"/>
        <v>314.1</v>
      </c>
      <c r="F343" s="2">
        <f t="shared" si="156"/>
        <v>314.1</v>
      </c>
      <c r="G343" s="3">
        <f>H343</f>
        <v>314.1</v>
      </c>
      <c r="H343" s="3">
        <v>314.1</v>
      </c>
      <c r="I343" s="3">
        <v>0</v>
      </c>
      <c r="J343" s="3">
        <v>0</v>
      </c>
      <c r="K343" s="3">
        <f>1.2*K342</f>
        <v>0</v>
      </c>
      <c r="L343" s="3">
        <v>0</v>
      </c>
      <c r="M343" s="3">
        <v>0</v>
      </c>
      <c r="N343" s="3">
        <v>0</v>
      </c>
      <c r="O343" s="122"/>
      <c r="P343" s="4"/>
    </row>
    <row r="344" spans="1:16" ht="15">
      <c r="A344" s="85"/>
      <c r="B344" s="95"/>
      <c r="C344" s="89"/>
      <c r="D344" s="1" t="s">
        <v>15</v>
      </c>
      <c r="E344" s="2">
        <f t="shared" si="156"/>
        <v>314.1</v>
      </c>
      <c r="F344" s="2">
        <f t="shared" si="156"/>
        <v>0</v>
      </c>
      <c r="G344" s="3">
        <f aca="true" t="shared" si="157" ref="G344:G351">G343</f>
        <v>314.1</v>
      </c>
      <c r="H344" s="3">
        <f>314.1-314.1</f>
        <v>0</v>
      </c>
      <c r="I344" s="3">
        <v>0</v>
      </c>
      <c r="J344" s="3">
        <v>0</v>
      </c>
      <c r="K344" s="3">
        <f>1.2*K343</f>
        <v>0</v>
      </c>
      <c r="L344" s="3">
        <v>0</v>
      </c>
      <c r="M344" s="3">
        <v>0</v>
      </c>
      <c r="N344" s="3">
        <v>0</v>
      </c>
      <c r="O344" s="122"/>
      <c r="P344" s="4"/>
    </row>
    <row r="345" spans="1:16" ht="15">
      <c r="A345" s="85"/>
      <c r="B345" s="95"/>
      <c r="C345" s="89"/>
      <c r="D345" s="1" t="s">
        <v>16</v>
      </c>
      <c r="E345" s="2">
        <f t="shared" si="156"/>
        <v>329.5</v>
      </c>
      <c r="F345" s="2">
        <f t="shared" si="156"/>
        <v>329.5</v>
      </c>
      <c r="G345" s="3">
        <f t="shared" si="157"/>
        <v>314.1</v>
      </c>
      <c r="H345" s="3">
        <v>314.1</v>
      </c>
      <c r="I345" s="3">
        <v>0</v>
      </c>
      <c r="J345" s="3">
        <v>0</v>
      </c>
      <c r="K345" s="3">
        <f>1.2*K344</f>
        <v>0</v>
      </c>
      <c r="L345" s="3">
        <v>0</v>
      </c>
      <c r="M345" s="3">
        <v>15.4</v>
      </c>
      <c r="N345" s="3">
        <v>15.4</v>
      </c>
      <c r="O345" s="122"/>
      <c r="P345" s="4"/>
    </row>
    <row r="346" spans="1:16" ht="15">
      <c r="A346" s="85"/>
      <c r="B346" s="95"/>
      <c r="C346" s="89"/>
      <c r="D346" s="1" t="s">
        <v>17</v>
      </c>
      <c r="E346" s="2">
        <f aca="true" t="shared" si="158" ref="E346:F351">G346+I346+K346+M346</f>
        <v>455.70000000000005</v>
      </c>
      <c r="F346" s="2">
        <f t="shared" si="158"/>
        <v>342</v>
      </c>
      <c r="G346" s="3">
        <f>G345+141.6</f>
        <v>455.70000000000005</v>
      </c>
      <c r="H346" s="3">
        <v>342</v>
      </c>
      <c r="I346" s="3">
        <v>0</v>
      </c>
      <c r="J346" s="3">
        <v>0</v>
      </c>
      <c r="K346" s="3">
        <f>1.2*K345</f>
        <v>0</v>
      </c>
      <c r="L346" s="3">
        <v>0</v>
      </c>
      <c r="M346" s="3">
        <v>0</v>
      </c>
      <c r="N346" s="3">
        <v>0</v>
      </c>
      <c r="O346" s="122"/>
      <c r="P346" s="4"/>
    </row>
    <row r="347" spans="1:16" ht="15">
      <c r="A347" s="85"/>
      <c r="B347" s="95"/>
      <c r="C347" s="89"/>
      <c r="D347" s="1" t="s">
        <v>97</v>
      </c>
      <c r="E347" s="2">
        <f t="shared" si="158"/>
        <v>455.70000000000005</v>
      </c>
      <c r="F347" s="2">
        <f t="shared" si="158"/>
        <v>342</v>
      </c>
      <c r="G347" s="3">
        <f t="shared" si="157"/>
        <v>455.70000000000005</v>
      </c>
      <c r="H347" s="3">
        <v>342</v>
      </c>
      <c r="I347" s="3">
        <v>0</v>
      </c>
      <c r="J347" s="3">
        <v>0</v>
      </c>
      <c r="K347" s="3">
        <v>0</v>
      </c>
      <c r="L347" s="3">
        <v>0</v>
      </c>
      <c r="M347" s="3">
        <v>0</v>
      </c>
      <c r="N347" s="3">
        <v>0</v>
      </c>
      <c r="O347" s="122"/>
      <c r="P347" s="4"/>
    </row>
    <row r="348" spans="1:16" ht="15">
      <c r="A348" s="85"/>
      <c r="B348" s="95"/>
      <c r="C348" s="89"/>
      <c r="D348" s="1" t="s">
        <v>98</v>
      </c>
      <c r="E348" s="2">
        <f t="shared" si="158"/>
        <v>455.70000000000005</v>
      </c>
      <c r="F348" s="2">
        <f t="shared" si="158"/>
        <v>342</v>
      </c>
      <c r="G348" s="3">
        <f t="shared" si="157"/>
        <v>455.70000000000005</v>
      </c>
      <c r="H348" s="3">
        <v>342</v>
      </c>
      <c r="I348" s="3">
        <v>0</v>
      </c>
      <c r="J348" s="3">
        <v>0</v>
      </c>
      <c r="K348" s="3">
        <v>0</v>
      </c>
      <c r="L348" s="3">
        <v>0</v>
      </c>
      <c r="M348" s="3">
        <v>0</v>
      </c>
      <c r="N348" s="3">
        <v>0</v>
      </c>
      <c r="O348" s="122"/>
      <c r="P348" s="4"/>
    </row>
    <row r="349" spans="1:16" ht="15">
      <c r="A349" s="85"/>
      <c r="B349" s="95"/>
      <c r="C349" s="89"/>
      <c r="D349" s="1" t="s">
        <v>99</v>
      </c>
      <c r="E349" s="2">
        <f t="shared" si="158"/>
        <v>455.70000000000005</v>
      </c>
      <c r="F349" s="2">
        <f t="shared" si="158"/>
        <v>0</v>
      </c>
      <c r="G349" s="3">
        <f t="shared" si="157"/>
        <v>455.70000000000005</v>
      </c>
      <c r="H349" s="3">
        <v>0</v>
      </c>
      <c r="I349" s="3">
        <v>0</v>
      </c>
      <c r="J349" s="3">
        <v>0</v>
      </c>
      <c r="K349" s="3">
        <v>0</v>
      </c>
      <c r="L349" s="3">
        <v>0</v>
      </c>
      <c r="M349" s="3">
        <v>0</v>
      </c>
      <c r="N349" s="3">
        <v>0</v>
      </c>
      <c r="O349" s="122"/>
      <c r="P349" s="4"/>
    </row>
    <row r="350" spans="1:16" ht="15">
      <c r="A350" s="85"/>
      <c r="B350" s="95"/>
      <c r="C350" s="89"/>
      <c r="D350" s="1" t="s">
        <v>100</v>
      </c>
      <c r="E350" s="2">
        <f t="shared" si="158"/>
        <v>455.70000000000005</v>
      </c>
      <c r="F350" s="2">
        <f t="shared" si="158"/>
        <v>0</v>
      </c>
      <c r="G350" s="3">
        <f t="shared" si="157"/>
        <v>455.70000000000005</v>
      </c>
      <c r="H350" s="3">
        <v>0</v>
      </c>
      <c r="I350" s="3">
        <v>0</v>
      </c>
      <c r="J350" s="3">
        <v>0</v>
      </c>
      <c r="K350" s="3">
        <v>0</v>
      </c>
      <c r="L350" s="3">
        <v>0</v>
      </c>
      <c r="M350" s="3">
        <v>0</v>
      </c>
      <c r="N350" s="3">
        <v>0</v>
      </c>
      <c r="O350" s="122"/>
      <c r="P350" s="4"/>
    </row>
    <row r="351" spans="1:16" ht="15">
      <c r="A351" s="86"/>
      <c r="B351" s="95"/>
      <c r="C351" s="90"/>
      <c r="D351" s="1" t="s">
        <v>101</v>
      </c>
      <c r="E351" s="2">
        <f t="shared" si="158"/>
        <v>455.70000000000005</v>
      </c>
      <c r="F351" s="2">
        <f t="shared" si="158"/>
        <v>0</v>
      </c>
      <c r="G351" s="3">
        <f t="shared" si="157"/>
        <v>455.70000000000005</v>
      </c>
      <c r="H351" s="3">
        <v>0</v>
      </c>
      <c r="I351" s="3">
        <v>0</v>
      </c>
      <c r="J351" s="3">
        <v>0</v>
      </c>
      <c r="K351" s="3">
        <v>0</v>
      </c>
      <c r="L351" s="3">
        <v>0</v>
      </c>
      <c r="M351" s="3">
        <v>0</v>
      </c>
      <c r="N351" s="3">
        <v>0</v>
      </c>
      <c r="O351" s="122"/>
      <c r="P351" s="4"/>
    </row>
    <row r="352" spans="1:16" s="12" customFormat="1" ht="15.75" customHeight="1">
      <c r="A352" s="84"/>
      <c r="B352" s="99" t="s">
        <v>92</v>
      </c>
      <c r="C352" s="84"/>
      <c r="D352" s="10" t="s">
        <v>11</v>
      </c>
      <c r="E352" s="2">
        <f>SUM(E353:E363)</f>
        <v>22055.1</v>
      </c>
      <c r="F352" s="2">
        <f aca="true" t="shared" si="159" ref="F352:N352">SUM(F353:F363)</f>
        <v>13506.6</v>
      </c>
      <c r="G352" s="2">
        <f t="shared" si="159"/>
        <v>22055.1</v>
      </c>
      <c r="H352" s="2">
        <f t="shared" si="159"/>
        <v>13506.6</v>
      </c>
      <c r="I352" s="2">
        <f t="shared" si="159"/>
        <v>0</v>
      </c>
      <c r="J352" s="2">
        <f t="shared" si="159"/>
        <v>0</v>
      </c>
      <c r="K352" s="2">
        <f t="shared" si="159"/>
        <v>0</v>
      </c>
      <c r="L352" s="2">
        <f t="shared" si="159"/>
        <v>0</v>
      </c>
      <c r="M352" s="2">
        <f t="shared" si="159"/>
        <v>0</v>
      </c>
      <c r="N352" s="2">
        <f t="shared" si="159"/>
        <v>0</v>
      </c>
      <c r="O352" s="122" t="s">
        <v>87</v>
      </c>
      <c r="P352" s="4"/>
    </row>
    <row r="353" spans="1:16" s="26" customFormat="1" ht="15">
      <c r="A353" s="85"/>
      <c r="B353" s="99"/>
      <c r="C353" s="85"/>
      <c r="D353" s="1" t="s">
        <v>12</v>
      </c>
      <c r="E353" s="2">
        <f aca="true" t="shared" si="160" ref="E353:E363">G353+I353+K353+M353</f>
        <v>0</v>
      </c>
      <c r="F353" s="2">
        <f aca="true" t="shared" si="161" ref="F353:F363">H353+J353+L353+N353</f>
        <v>0</v>
      </c>
      <c r="G353" s="3">
        <v>0</v>
      </c>
      <c r="H353" s="3">
        <v>0</v>
      </c>
      <c r="I353" s="3">
        <v>0</v>
      </c>
      <c r="J353" s="3">
        <v>0</v>
      </c>
      <c r="K353" s="3">
        <v>0</v>
      </c>
      <c r="L353" s="3">
        <v>0</v>
      </c>
      <c r="M353" s="3">
        <v>0</v>
      </c>
      <c r="N353" s="3">
        <v>0</v>
      </c>
      <c r="O353" s="122"/>
      <c r="P353" s="37"/>
    </row>
    <row r="354" spans="1:16" ht="15">
      <c r="A354" s="85"/>
      <c r="B354" s="99"/>
      <c r="C354" s="85"/>
      <c r="D354" s="1" t="s">
        <v>13</v>
      </c>
      <c r="E354" s="2">
        <f t="shared" si="160"/>
        <v>0</v>
      </c>
      <c r="F354" s="2">
        <f t="shared" si="161"/>
        <v>0</v>
      </c>
      <c r="G354" s="3">
        <v>0</v>
      </c>
      <c r="H354" s="3">
        <v>0</v>
      </c>
      <c r="I354" s="3">
        <v>0</v>
      </c>
      <c r="J354" s="3">
        <v>0</v>
      </c>
      <c r="K354" s="3">
        <v>0</v>
      </c>
      <c r="L354" s="3">
        <v>0</v>
      </c>
      <c r="M354" s="3">
        <v>0</v>
      </c>
      <c r="N354" s="3">
        <v>0</v>
      </c>
      <c r="O354" s="122"/>
      <c r="P354" s="4"/>
    </row>
    <row r="355" spans="1:16" ht="15" customHeight="1">
      <c r="A355" s="85"/>
      <c r="B355" s="99"/>
      <c r="C355" s="86"/>
      <c r="D355" s="1" t="s">
        <v>14</v>
      </c>
      <c r="E355" s="2">
        <f t="shared" si="160"/>
        <v>0</v>
      </c>
      <c r="F355" s="2">
        <f t="shared" si="161"/>
        <v>0</v>
      </c>
      <c r="G355" s="3">
        <v>0</v>
      </c>
      <c r="H355" s="3">
        <v>0</v>
      </c>
      <c r="I355" s="3">
        <v>0</v>
      </c>
      <c r="J355" s="3">
        <v>0</v>
      </c>
      <c r="K355" s="3">
        <v>0</v>
      </c>
      <c r="L355" s="3">
        <v>0</v>
      </c>
      <c r="M355" s="3">
        <v>0</v>
      </c>
      <c r="N355" s="3">
        <v>0</v>
      </c>
      <c r="O355" s="122"/>
      <c r="P355" s="4"/>
    </row>
    <row r="356" spans="1:16" ht="15">
      <c r="A356" s="85"/>
      <c r="B356" s="99"/>
      <c r="C356" s="97" t="s">
        <v>82</v>
      </c>
      <c r="D356" s="1" t="s">
        <v>15</v>
      </c>
      <c r="E356" s="2">
        <f t="shared" si="160"/>
        <v>2297.6</v>
      </c>
      <c r="F356" s="2">
        <f t="shared" si="161"/>
        <v>2297.6</v>
      </c>
      <c r="G356" s="3">
        <v>2297.6</v>
      </c>
      <c r="H356" s="3">
        <f>G356</f>
        <v>2297.6</v>
      </c>
      <c r="I356" s="3">
        <v>0</v>
      </c>
      <c r="J356" s="3">
        <v>0</v>
      </c>
      <c r="K356" s="3">
        <f>K355</f>
        <v>0</v>
      </c>
      <c r="L356" s="3">
        <v>0</v>
      </c>
      <c r="M356" s="3">
        <v>0</v>
      </c>
      <c r="N356" s="3">
        <v>0</v>
      </c>
      <c r="O356" s="122"/>
      <c r="P356" s="4"/>
    </row>
    <row r="357" spans="1:23" ht="15">
      <c r="A357" s="85"/>
      <c r="B357" s="99"/>
      <c r="C357" s="97"/>
      <c r="D357" s="1" t="s">
        <v>16</v>
      </c>
      <c r="E357" s="2">
        <f t="shared" si="160"/>
        <v>2660.5</v>
      </c>
      <c r="F357" s="2">
        <f t="shared" si="161"/>
        <v>2660.5</v>
      </c>
      <c r="G357" s="3">
        <f>H357</f>
        <v>2660.5</v>
      </c>
      <c r="H357" s="3">
        <v>2660.5</v>
      </c>
      <c r="I357" s="3">
        <v>0</v>
      </c>
      <c r="J357" s="3">
        <v>0</v>
      </c>
      <c r="K357" s="3">
        <f>K356</f>
        <v>0</v>
      </c>
      <c r="L357" s="3">
        <v>0</v>
      </c>
      <c r="M357" s="3">
        <v>0</v>
      </c>
      <c r="N357" s="3">
        <v>0</v>
      </c>
      <c r="O357" s="122"/>
      <c r="P357" s="4"/>
      <c r="W357" s="36"/>
    </row>
    <row r="358" spans="1:16" ht="15">
      <c r="A358" s="85"/>
      <c r="B358" s="99"/>
      <c r="C358" s="97"/>
      <c r="D358" s="1" t="s">
        <v>17</v>
      </c>
      <c r="E358" s="2">
        <f t="shared" si="160"/>
        <v>2849.5</v>
      </c>
      <c r="F358" s="2">
        <f t="shared" si="161"/>
        <v>2849.5</v>
      </c>
      <c r="G358" s="3">
        <v>2849.5</v>
      </c>
      <c r="H358" s="3">
        <v>2849.5</v>
      </c>
      <c r="I358" s="3">
        <v>0</v>
      </c>
      <c r="J358" s="3">
        <v>0</v>
      </c>
      <c r="K358" s="3">
        <f>K357</f>
        <v>0</v>
      </c>
      <c r="L358" s="3">
        <v>0</v>
      </c>
      <c r="M358" s="3">
        <v>0</v>
      </c>
      <c r="N358" s="3">
        <v>0</v>
      </c>
      <c r="O358" s="122"/>
      <c r="P358" s="4"/>
    </row>
    <row r="359" spans="1:16" ht="15">
      <c r="A359" s="85"/>
      <c r="B359" s="99"/>
      <c r="C359" s="97"/>
      <c r="D359" s="1" t="s">
        <v>97</v>
      </c>
      <c r="E359" s="2">
        <f t="shared" si="160"/>
        <v>2849.5</v>
      </c>
      <c r="F359" s="2">
        <f t="shared" si="161"/>
        <v>2849.5</v>
      </c>
      <c r="G359" s="3">
        <f>G358</f>
        <v>2849.5</v>
      </c>
      <c r="H359" s="3">
        <v>2849.5</v>
      </c>
      <c r="I359" s="3">
        <v>0</v>
      </c>
      <c r="J359" s="3">
        <v>0</v>
      </c>
      <c r="K359" s="3">
        <v>0</v>
      </c>
      <c r="L359" s="3">
        <v>0</v>
      </c>
      <c r="M359" s="3">
        <v>0</v>
      </c>
      <c r="N359" s="3">
        <v>0</v>
      </c>
      <c r="O359" s="122"/>
      <c r="P359" s="4"/>
    </row>
    <row r="360" spans="1:16" ht="15">
      <c r="A360" s="85"/>
      <c r="B360" s="99"/>
      <c r="C360" s="97"/>
      <c r="D360" s="1" t="s">
        <v>98</v>
      </c>
      <c r="E360" s="2">
        <f t="shared" si="160"/>
        <v>2849.5</v>
      </c>
      <c r="F360" s="2">
        <f t="shared" si="161"/>
        <v>2849.5</v>
      </c>
      <c r="G360" s="3">
        <f>G359</f>
        <v>2849.5</v>
      </c>
      <c r="H360" s="3">
        <v>2849.5</v>
      </c>
      <c r="I360" s="3">
        <v>0</v>
      </c>
      <c r="J360" s="3">
        <v>0</v>
      </c>
      <c r="K360" s="3">
        <v>0</v>
      </c>
      <c r="L360" s="3">
        <v>0</v>
      </c>
      <c r="M360" s="3">
        <v>0</v>
      </c>
      <c r="N360" s="3">
        <v>0</v>
      </c>
      <c r="O360" s="122"/>
      <c r="P360" s="4"/>
    </row>
    <row r="361" spans="1:16" ht="15">
      <c r="A361" s="85"/>
      <c r="B361" s="99"/>
      <c r="C361" s="97"/>
      <c r="D361" s="1" t="s">
        <v>99</v>
      </c>
      <c r="E361" s="2">
        <f t="shared" si="160"/>
        <v>2849.5</v>
      </c>
      <c r="F361" s="2">
        <f t="shared" si="161"/>
        <v>0</v>
      </c>
      <c r="G361" s="3">
        <f>G360</f>
        <v>2849.5</v>
      </c>
      <c r="H361" s="3">
        <v>0</v>
      </c>
      <c r="I361" s="3">
        <v>0</v>
      </c>
      <c r="J361" s="3">
        <v>0</v>
      </c>
      <c r="K361" s="3">
        <v>0</v>
      </c>
      <c r="L361" s="3">
        <v>0</v>
      </c>
      <c r="M361" s="3">
        <v>0</v>
      </c>
      <c r="N361" s="3">
        <v>0</v>
      </c>
      <c r="O361" s="122"/>
      <c r="P361" s="4"/>
    </row>
    <row r="362" spans="1:16" ht="15">
      <c r="A362" s="85"/>
      <c r="B362" s="99"/>
      <c r="C362" s="97"/>
      <c r="D362" s="1" t="s">
        <v>100</v>
      </c>
      <c r="E362" s="2">
        <f t="shared" si="160"/>
        <v>2849.5</v>
      </c>
      <c r="F362" s="2">
        <f t="shared" si="161"/>
        <v>0</v>
      </c>
      <c r="G362" s="3">
        <f>G361</f>
        <v>2849.5</v>
      </c>
      <c r="H362" s="3">
        <v>0</v>
      </c>
      <c r="I362" s="3">
        <v>0</v>
      </c>
      <c r="J362" s="3">
        <v>0</v>
      </c>
      <c r="K362" s="3">
        <v>0</v>
      </c>
      <c r="L362" s="3">
        <v>0</v>
      </c>
      <c r="M362" s="3">
        <v>0</v>
      </c>
      <c r="N362" s="3">
        <v>0</v>
      </c>
      <c r="O362" s="122"/>
      <c r="P362" s="4"/>
    </row>
    <row r="363" spans="1:16" ht="15">
      <c r="A363" s="86"/>
      <c r="B363" s="100"/>
      <c r="C363" s="97"/>
      <c r="D363" s="1" t="s">
        <v>101</v>
      </c>
      <c r="E363" s="2">
        <f t="shared" si="160"/>
        <v>2849.5</v>
      </c>
      <c r="F363" s="2">
        <f t="shared" si="161"/>
        <v>0</v>
      </c>
      <c r="G363" s="3">
        <f>G362</f>
        <v>2849.5</v>
      </c>
      <c r="H363" s="3">
        <v>0</v>
      </c>
      <c r="I363" s="3">
        <v>0</v>
      </c>
      <c r="J363" s="3">
        <v>0</v>
      </c>
      <c r="K363" s="3">
        <v>0</v>
      </c>
      <c r="L363" s="3">
        <v>0</v>
      </c>
      <c r="M363" s="3">
        <v>0</v>
      </c>
      <c r="N363" s="3">
        <v>0</v>
      </c>
      <c r="O363" s="122"/>
      <c r="P363" s="4"/>
    </row>
    <row r="364" spans="1:16" s="12" customFormat="1" ht="15.75" customHeight="1">
      <c r="A364" s="84"/>
      <c r="B364" s="99" t="s">
        <v>93</v>
      </c>
      <c r="C364" s="84"/>
      <c r="D364" s="10" t="s">
        <v>11</v>
      </c>
      <c r="E364" s="2">
        <f>SUM(E365:E375)</f>
        <v>16060.100000000002</v>
      </c>
      <c r="F364" s="2">
        <f aca="true" t="shared" si="162" ref="F364:N364">SUM(F365:F375)</f>
        <v>10010</v>
      </c>
      <c r="G364" s="2">
        <f>SUM(G365:G375)</f>
        <v>16060.100000000002</v>
      </c>
      <c r="H364" s="2">
        <f t="shared" si="162"/>
        <v>10010</v>
      </c>
      <c r="I364" s="2">
        <f t="shared" si="162"/>
        <v>0</v>
      </c>
      <c r="J364" s="2">
        <f t="shared" si="162"/>
        <v>0</v>
      </c>
      <c r="K364" s="2">
        <f t="shared" si="162"/>
        <v>0</v>
      </c>
      <c r="L364" s="2">
        <f t="shared" si="162"/>
        <v>0</v>
      </c>
      <c r="M364" s="2">
        <f t="shared" si="162"/>
        <v>0</v>
      </c>
      <c r="N364" s="2">
        <f t="shared" si="162"/>
        <v>0</v>
      </c>
      <c r="O364" s="122" t="s">
        <v>88</v>
      </c>
      <c r="P364" s="4"/>
    </row>
    <row r="365" spans="1:16" s="26" customFormat="1" ht="15">
      <c r="A365" s="85"/>
      <c r="B365" s="99"/>
      <c r="C365" s="85"/>
      <c r="D365" s="1" t="s">
        <v>12</v>
      </c>
      <c r="E365" s="2">
        <f aca="true" t="shared" si="163" ref="E365:E375">G365+I365+K365+M365</f>
        <v>0</v>
      </c>
      <c r="F365" s="2">
        <f aca="true" t="shared" si="164" ref="F365:F375">H365+J365+L365+N365</f>
        <v>0</v>
      </c>
      <c r="G365" s="3">
        <v>0</v>
      </c>
      <c r="H365" s="3">
        <v>0</v>
      </c>
      <c r="I365" s="3">
        <v>0</v>
      </c>
      <c r="J365" s="3">
        <v>0</v>
      </c>
      <c r="K365" s="3">
        <v>0</v>
      </c>
      <c r="L365" s="3">
        <v>0</v>
      </c>
      <c r="M365" s="3">
        <v>0</v>
      </c>
      <c r="N365" s="3">
        <v>0</v>
      </c>
      <c r="O365" s="122"/>
      <c r="P365" s="37"/>
    </row>
    <row r="366" spans="1:16" ht="15">
      <c r="A366" s="85"/>
      <c r="B366" s="99"/>
      <c r="C366" s="85"/>
      <c r="D366" s="1" t="s">
        <v>13</v>
      </c>
      <c r="E366" s="2">
        <f t="shared" si="163"/>
        <v>0</v>
      </c>
      <c r="F366" s="2">
        <f t="shared" si="164"/>
        <v>0</v>
      </c>
      <c r="G366" s="3">
        <v>0</v>
      </c>
      <c r="H366" s="3">
        <v>0</v>
      </c>
      <c r="I366" s="3">
        <v>0</v>
      </c>
      <c r="J366" s="3">
        <v>0</v>
      </c>
      <c r="K366" s="3">
        <v>0</v>
      </c>
      <c r="L366" s="3">
        <v>0</v>
      </c>
      <c r="M366" s="3">
        <v>0</v>
      </c>
      <c r="N366" s="3">
        <v>0</v>
      </c>
      <c r="O366" s="122"/>
      <c r="P366" s="4"/>
    </row>
    <row r="367" spans="1:16" ht="15" customHeight="1">
      <c r="A367" s="85"/>
      <c r="B367" s="99"/>
      <c r="C367" s="86"/>
      <c r="D367" s="1" t="s">
        <v>14</v>
      </c>
      <c r="E367" s="2">
        <f t="shared" si="163"/>
        <v>0</v>
      </c>
      <c r="F367" s="2">
        <f t="shared" si="164"/>
        <v>0</v>
      </c>
      <c r="G367" s="3">
        <v>0</v>
      </c>
      <c r="H367" s="3">
        <v>0</v>
      </c>
      <c r="I367" s="3">
        <v>0</v>
      </c>
      <c r="J367" s="3">
        <v>0</v>
      </c>
      <c r="K367" s="3">
        <v>0</v>
      </c>
      <c r="L367" s="3">
        <v>0</v>
      </c>
      <c r="M367" s="3">
        <v>0</v>
      </c>
      <c r="N367" s="3">
        <v>0</v>
      </c>
      <c r="O367" s="122"/>
      <c r="P367" s="4"/>
    </row>
    <row r="368" spans="1:16" ht="15">
      <c r="A368" s="85"/>
      <c r="B368" s="99"/>
      <c r="C368" s="97" t="s">
        <v>82</v>
      </c>
      <c r="D368" s="1" t="s">
        <v>15</v>
      </c>
      <c r="E368" s="2">
        <f t="shared" si="163"/>
        <v>1997.8</v>
      </c>
      <c r="F368" s="2">
        <f t="shared" si="164"/>
        <v>1997.8</v>
      </c>
      <c r="G368" s="3">
        <v>1997.8</v>
      </c>
      <c r="H368" s="3">
        <f>G368</f>
        <v>1997.8</v>
      </c>
      <c r="I368" s="3">
        <v>0</v>
      </c>
      <c r="J368" s="3">
        <v>0</v>
      </c>
      <c r="K368" s="3">
        <f>K367</f>
        <v>0</v>
      </c>
      <c r="L368" s="3">
        <v>0</v>
      </c>
      <c r="M368" s="3">
        <v>0</v>
      </c>
      <c r="N368" s="3">
        <v>0</v>
      </c>
      <c r="O368" s="122"/>
      <c r="P368" s="4"/>
    </row>
    <row r="369" spans="1:16" ht="15">
      <c r="A369" s="85"/>
      <c r="B369" s="99"/>
      <c r="C369" s="97"/>
      <c r="D369" s="1" t="s">
        <v>16</v>
      </c>
      <c r="E369" s="2">
        <f t="shared" si="163"/>
        <v>1962.1</v>
      </c>
      <c r="F369" s="2">
        <f t="shared" si="164"/>
        <v>1962.1</v>
      </c>
      <c r="G369" s="3">
        <f>H369</f>
        <v>1962.1</v>
      </c>
      <c r="H369" s="3">
        <v>1962.1</v>
      </c>
      <c r="I369" s="3">
        <v>0</v>
      </c>
      <c r="J369" s="3">
        <v>0</v>
      </c>
      <c r="K369" s="3">
        <f>K368</f>
        <v>0</v>
      </c>
      <c r="L369" s="3">
        <v>0</v>
      </c>
      <c r="M369" s="3">
        <v>0</v>
      </c>
      <c r="N369" s="3">
        <v>0</v>
      </c>
      <c r="O369" s="122"/>
      <c r="P369" s="4"/>
    </row>
    <row r="370" spans="1:16" ht="15">
      <c r="A370" s="85"/>
      <c r="B370" s="99"/>
      <c r="C370" s="97"/>
      <c r="D370" s="1" t="s">
        <v>17</v>
      </c>
      <c r="E370" s="2">
        <f t="shared" si="163"/>
        <v>2016.7</v>
      </c>
      <c r="F370" s="2">
        <f t="shared" si="164"/>
        <v>2016.7</v>
      </c>
      <c r="G370" s="3">
        <v>2016.7</v>
      </c>
      <c r="H370" s="3">
        <v>2016.7</v>
      </c>
      <c r="I370" s="3">
        <v>0</v>
      </c>
      <c r="J370" s="3">
        <v>0</v>
      </c>
      <c r="K370" s="3">
        <f>K369</f>
        <v>0</v>
      </c>
      <c r="L370" s="3">
        <v>0</v>
      </c>
      <c r="M370" s="3">
        <v>0</v>
      </c>
      <c r="N370" s="3">
        <v>0</v>
      </c>
      <c r="O370" s="122"/>
      <c r="P370" s="4"/>
    </row>
    <row r="371" spans="1:16" ht="15">
      <c r="A371" s="85"/>
      <c r="B371" s="99"/>
      <c r="C371" s="97"/>
      <c r="D371" s="1" t="s">
        <v>97</v>
      </c>
      <c r="E371" s="2">
        <f t="shared" si="163"/>
        <v>2016.7</v>
      </c>
      <c r="F371" s="2">
        <f t="shared" si="164"/>
        <v>2016.7</v>
      </c>
      <c r="G371" s="3">
        <f>H371</f>
        <v>2016.7</v>
      </c>
      <c r="H371" s="3">
        <v>2016.7</v>
      </c>
      <c r="I371" s="3">
        <v>0</v>
      </c>
      <c r="J371" s="3">
        <v>0</v>
      </c>
      <c r="K371" s="3">
        <v>0</v>
      </c>
      <c r="L371" s="3">
        <v>0</v>
      </c>
      <c r="M371" s="3">
        <v>0</v>
      </c>
      <c r="N371" s="3">
        <v>0</v>
      </c>
      <c r="O371" s="122"/>
      <c r="P371" s="4"/>
    </row>
    <row r="372" spans="1:16" ht="15">
      <c r="A372" s="85"/>
      <c r="B372" s="99"/>
      <c r="C372" s="97"/>
      <c r="D372" s="1" t="s">
        <v>98</v>
      </c>
      <c r="E372" s="2">
        <f t="shared" si="163"/>
        <v>2016.7</v>
      </c>
      <c r="F372" s="2">
        <f t="shared" si="164"/>
        <v>2016.7</v>
      </c>
      <c r="G372" s="3">
        <f>G371</f>
        <v>2016.7</v>
      </c>
      <c r="H372" s="3">
        <v>2016.7</v>
      </c>
      <c r="I372" s="3">
        <v>0</v>
      </c>
      <c r="J372" s="3">
        <v>0</v>
      </c>
      <c r="K372" s="3">
        <v>0</v>
      </c>
      <c r="L372" s="3">
        <v>0</v>
      </c>
      <c r="M372" s="3">
        <v>0</v>
      </c>
      <c r="N372" s="3">
        <v>0</v>
      </c>
      <c r="O372" s="122"/>
      <c r="P372" s="4"/>
    </row>
    <row r="373" spans="1:16" ht="15">
      <c r="A373" s="85"/>
      <c r="B373" s="99"/>
      <c r="C373" s="97"/>
      <c r="D373" s="1" t="s">
        <v>99</v>
      </c>
      <c r="E373" s="2">
        <f t="shared" si="163"/>
        <v>2016.7</v>
      </c>
      <c r="F373" s="2">
        <f t="shared" si="164"/>
        <v>0</v>
      </c>
      <c r="G373" s="3">
        <f>G372</f>
        <v>2016.7</v>
      </c>
      <c r="H373" s="3">
        <v>0</v>
      </c>
      <c r="I373" s="3">
        <v>0</v>
      </c>
      <c r="J373" s="3">
        <v>0</v>
      </c>
      <c r="K373" s="3">
        <v>0</v>
      </c>
      <c r="L373" s="3">
        <v>0</v>
      </c>
      <c r="M373" s="3">
        <v>0</v>
      </c>
      <c r="N373" s="3">
        <v>0</v>
      </c>
      <c r="O373" s="122"/>
      <c r="P373" s="4"/>
    </row>
    <row r="374" spans="1:16" ht="15">
      <c r="A374" s="85"/>
      <c r="B374" s="99"/>
      <c r="C374" s="97"/>
      <c r="D374" s="1" t="s">
        <v>100</v>
      </c>
      <c r="E374" s="2">
        <f t="shared" si="163"/>
        <v>2016.7</v>
      </c>
      <c r="F374" s="2">
        <f t="shared" si="164"/>
        <v>0</v>
      </c>
      <c r="G374" s="3">
        <f>G373</f>
        <v>2016.7</v>
      </c>
      <c r="H374" s="3">
        <v>0</v>
      </c>
      <c r="I374" s="3">
        <v>0</v>
      </c>
      <c r="J374" s="3">
        <v>0</v>
      </c>
      <c r="K374" s="3">
        <v>0</v>
      </c>
      <c r="L374" s="3">
        <v>0</v>
      </c>
      <c r="M374" s="3">
        <v>0</v>
      </c>
      <c r="N374" s="3">
        <v>0</v>
      </c>
      <c r="O374" s="122"/>
      <c r="P374" s="4"/>
    </row>
    <row r="375" spans="1:16" ht="15">
      <c r="A375" s="86"/>
      <c r="B375" s="100"/>
      <c r="C375" s="97"/>
      <c r="D375" s="1" t="s">
        <v>101</v>
      </c>
      <c r="E375" s="2">
        <f t="shared" si="163"/>
        <v>2016.7</v>
      </c>
      <c r="F375" s="2">
        <f t="shared" si="164"/>
        <v>0</v>
      </c>
      <c r="G375" s="3">
        <f>G374</f>
        <v>2016.7</v>
      </c>
      <c r="H375" s="3">
        <v>0</v>
      </c>
      <c r="I375" s="3">
        <v>0</v>
      </c>
      <c r="J375" s="3">
        <v>0</v>
      </c>
      <c r="K375" s="3">
        <v>0</v>
      </c>
      <c r="L375" s="3">
        <v>0</v>
      </c>
      <c r="M375" s="3">
        <v>0</v>
      </c>
      <c r="N375" s="3">
        <v>0</v>
      </c>
      <c r="O375" s="122"/>
      <c r="P375" s="4"/>
    </row>
    <row r="376" spans="1:16" s="12" customFormat="1" ht="15.75" customHeight="1">
      <c r="A376" s="84"/>
      <c r="B376" s="99" t="s">
        <v>94</v>
      </c>
      <c r="C376" s="84"/>
      <c r="D376" s="10" t="s">
        <v>11</v>
      </c>
      <c r="E376" s="2">
        <f>SUM(E377:E387)</f>
        <v>17702.4</v>
      </c>
      <c r="F376" s="2">
        <f aca="true" t="shared" si="165" ref="F376:N376">SUM(F377:F387)</f>
        <v>11552.4</v>
      </c>
      <c r="G376" s="2">
        <f t="shared" si="165"/>
        <v>17702.4</v>
      </c>
      <c r="H376" s="2">
        <f t="shared" si="165"/>
        <v>11552.4</v>
      </c>
      <c r="I376" s="2">
        <f t="shared" si="165"/>
        <v>0</v>
      </c>
      <c r="J376" s="2">
        <f t="shared" si="165"/>
        <v>0</v>
      </c>
      <c r="K376" s="2">
        <f t="shared" si="165"/>
        <v>0</v>
      </c>
      <c r="L376" s="2">
        <f t="shared" si="165"/>
        <v>0</v>
      </c>
      <c r="M376" s="2">
        <f t="shared" si="165"/>
        <v>0</v>
      </c>
      <c r="N376" s="2">
        <f t="shared" si="165"/>
        <v>0</v>
      </c>
      <c r="O376" s="122" t="s">
        <v>89</v>
      </c>
      <c r="P376" s="4"/>
    </row>
    <row r="377" spans="1:16" s="26" customFormat="1" ht="15">
      <c r="A377" s="85"/>
      <c r="B377" s="99"/>
      <c r="C377" s="85"/>
      <c r="D377" s="1" t="s">
        <v>12</v>
      </c>
      <c r="E377" s="2">
        <f aca="true" t="shared" si="166" ref="E377:E387">G377+I377+K377+M377</f>
        <v>0</v>
      </c>
      <c r="F377" s="2">
        <f aca="true" t="shared" si="167" ref="F377:F387">H377+J377+L377+N377</f>
        <v>0</v>
      </c>
      <c r="G377" s="3">
        <v>0</v>
      </c>
      <c r="H377" s="3">
        <v>0</v>
      </c>
      <c r="I377" s="3">
        <v>0</v>
      </c>
      <c r="J377" s="3">
        <v>0</v>
      </c>
      <c r="K377" s="3">
        <v>0</v>
      </c>
      <c r="L377" s="3">
        <v>0</v>
      </c>
      <c r="M377" s="3">
        <v>0</v>
      </c>
      <c r="N377" s="3">
        <v>0</v>
      </c>
      <c r="O377" s="122"/>
      <c r="P377" s="37"/>
    </row>
    <row r="378" spans="1:16" ht="15">
      <c r="A378" s="85"/>
      <c r="B378" s="99"/>
      <c r="C378" s="85"/>
      <c r="D378" s="1" t="s">
        <v>13</v>
      </c>
      <c r="E378" s="2">
        <f t="shared" si="166"/>
        <v>0</v>
      </c>
      <c r="F378" s="2">
        <f t="shared" si="167"/>
        <v>0</v>
      </c>
      <c r="G378" s="3">
        <v>0</v>
      </c>
      <c r="H378" s="3">
        <v>0</v>
      </c>
      <c r="I378" s="3">
        <v>0</v>
      </c>
      <c r="J378" s="3">
        <v>0</v>
      </c>
      <c r="K378" s="3">
        <v>0</v>
      </c>
      <c r="L378" s="3">
        <v>0</v>
      </c>
      <c r="M378" s="3">
        <v>0</v>
      </c>
      <c r="N378" s="3">
        <v>0</v>
      </c>
      <c r="O378" s="122"/>
      <c r="P378" s="4"/>
    </row>
    <row r="379" spans="1:16" ht="15" customHeight="1">
      <c r="A379" s="85"/>
      <c r="B379" s="99"/>
      <c r="C379" s="86"/>
      <c r="D379" s="1" t="s">
        <v>14</v>
      </c>
      <c r="E379" s="2">
        <f t="shared" si="166"/>
        <v>0</v>
      </c>
      <c r="F379" s="2">
        <f t="shared" si="167"/>
        <v>0</v>
      </c>
      <c r="G379" s="3">
        <v>0</v>
      </c>
      <c r="H379" s="3">
        <v>0</v>
      </c>
      <c r="I379" s="3">
        <v>0</v>
      </c>
      <c r="J379" s="3">
        <v>0</v>
      </c>
      <c r="K379" s="3">
        <v>0</v>
      </c>
      <c r="L379" s="3">
        <v>0</v>
      </c>
      <c r="M379" s="3">
        <v>0</v>
      </c>
      <c r="N379" s="3">
        <v>0</v>
      </c>
      <c r="O379" s="122"/>
      <c r="P379" s="4"/>
    </row>
    <row r="380" spans="1:16" ht="15">
      <c r="A380" s="85"/>
      <c r="B380" s="99"/>
      <c r="C380" s="97" t="s">
        <v>82</v>
      </c>
      <c r="D380" s="1" t="s">
        <v>15</v>
      </c>
      <c r="E380" s="2">
        <f t="shared" si="166"/>
        <v>2479.3</v>
      </c>
      <c r="F380" s="2">
        <f t="shared" si="167"/>
        <v>2479.3</v>
      </c>
      <c r="G380" s="3">
        <v>2479.3</v>
      </c>
      <c r="H380" s="3">
        <f>G380</f>
        <v>2479.3</v>
      </c>
      <c r="I380" s="3">
        <v>0</v>
      </c>
      <c r="J380" s="3">
        <v>0</v>
      </c>
      <c r="K380" s="3">
        <f>K379</f>
        <v>0</v>
      </c>
      <c r="L380" s="3">
        <v>0</v>
      </c>
      <c r="M380" s="3">
        <v>0</v>
      </c>
      <c r="N380" s="3">
        <v>0</v>
      </c>
      <c r="O380" s="122"/>
      <c r="P380" s="4"/>
    </row>
    <row r="381" spans="1:16" ht="15">
      <c r="A381" s="85"/>
      <c r="B381" s="99"/>
      <c r="C381" s="97"/>
      <c r="D381" s="1" t="s">
        <v>16</v>
      </c>
      <c r="E381" s="2">
        <f t="shared" si="166"/>
        <v>2923.1</v>
      </c>
      <c r="F381" s="2">
        <f t="shared" si="167"/>
        <v>2923.1</v>
      </c>
      <c r="G381" s="3">
        <f>H381</f>
        <v>2923.1</v>
      </c>
      <c r="H381" s="3">
        <v>2923.1</v>
      </c>
      <c r="I381" s="3">
        <v>0</v>
      </c>
      <c r="J381" s="3">
        <v>0</v>
      </c>
      <c r="K381" s="3">
        <f>K380</f>
        <v>0</v>
      </c>
      <c r="L381" s="3">
        <v>0</v>
      </c>
      <c r="M381" s="3">
        <v>0</v>
      </c>
      <c r="N381" s="3">
        <v>0</v>
      </c>
      <c r="O381" s="122"/>
      <c r="P381" s="4"/>
    </row>
    <row r="382" spans="1:16" ht="15">
      <c r="A382" s="85"/>
      <c r="B382" s="99"/>
      <c r="C382" s="97"/>
      <c r="D382" s="1" t="s">
        <v>17</v>
      </c>
      <c r="E382" s="2">
        <f t="shared" si="166"/>
        <v>2050</v>
      </c>
      <c r="F382" s="2">
        <f t="shared" si="167"/>
        <v>2050</v>
      </c>
      <c r="G382" s="3">
        <f>H382</f>
        <v>2050</v>
      </c>
      <c r="H382" s="3">
        <v>2050</v>
      </c>
      <c r="I382" s="3">
        <v>0</v>
      </c>
      <c r="J382" s="3">
        <v>0</v>
      </c>
      <c r="K382" s="3">
        <f>K381</f>
        <v>0</v>
      </c>
      <c r="L382" s="3">
        <v>0</v>
      </c>
      <c r="M382" s="3">
        <v>0</v>
      </c>
      <c r="N382" s="3">
        <v>0</v>
      </c>
      <c r="O382" s="122"/>
      <c r="P382" s="4"/>
    </row>
    <row r="383" spans="1:16" ht="15">
      <c r="A383" s="85"/>
      <c r="B383" s="99"/>
      <c r="C383" s="97"/>
      <c r="D383" s="1" t="s">
        <v>97</v>
      </c>
      <c r="E383" s="2">
        <f t="shared" si="166"/>
        <v>2050</v>
      </c>
      <c r="F383" s="2">
        <f t="shared" si="167"/>
        <v>2050</v>
      </c>
      <c r="G383" s="3">
        <f>G382</f>
        <v>2050</v>
      </c>
      <c r="H383" s="3">
        <v>2050</v>
      </c>
      <c r="I383" s="3">
        <v>0</v>
      </c>
      <c r="J383" s="3">
        <v>0</v>
      </c>
      <c r="K383" s="3">
        <v>0</v>
      </c>
      <c r="L383" s="3">
        <v>0</v>
      </c>
      <c r="M383" s="3">
        <v>0</v>
      </c>
      <c r="N383" s="3">
        <v>0</v>
      </c>
      <c r="O383" s="122"/>
      <c r="P383" s="4"/>
    </row>
    <row r="384" spans="1:16" ht="15">
      <c r="A384" s="85"/>
      <c r="B384" s="99"/>
      <c r="C384" s="97"/>
      <c r="D384" s="1" t="s">
        <v>98</v>
      </c>
      <c r="E384" s="2">
        <f t="shared" si="166"/>
        <v>2050</v>
      </c>
      <c r="F384" s="2">
        <f t="shared" si="167"/>
        <v>2050</v>
      </c>
      <c r="G384" s="3">
        <f>G383</f>
        <v>2050</v>
      </c>
      <c r="H384" s="3">
        <v>2050</v>
      </c>
      <c r="I384" s="3">
        <v>0</v>
      </c>
      <c r="J384" s="3">
        <v>0</v>
      </c>
      <c r="K384" s="3">
        <v>0</v>
      </c>
      <c r="L384" s="3">
        <v>0</v>
      </c>
      <c r="M384" s="3">
        <v>0</v>
      </c>
      <c r="N384" s="3">
        <v>0</v>
      </c>
      <c r="O384" s="122"/>
      <c r="P384" s="4"/>
    </row>
    <row r="385" spans="1:16" ht="15">
      <c r="A385" s="85"/>
      <c r="B385" s="99"/>
      <c r="C385" s="97"/>
      <c r="D385" s="1" t="s">
        <v>99</v>
      </c>
      <c r="E385" s="2">
        <f t="shared" si="166"/>
        <v>2050</v>
      </c>
      <c r="F385" s="2">
        <f t="shared" si="167"/>
        <v>0</v>
      </c>
      <c r="G385" s="3">
        <f>G384</f>
        <v>2050</v>
      </c>
      <c r="H385" s="3">
        <v>0</v>
      </c>
      <c r="I385" s="3">
        <v>0</v>
      </c>
      <c r="J385" s="3">
        <v>0</v>
      </c>
      <c r="K385" s="3">
        <v>0</v>
      </c>
      <c r="L385" s="3">
        <v>0</v>
      </c>
      <c r="M385" s="3">
        <v>0</v>
      </c>
      <c r="N385" s="3">
        <v>0</v>
      </c>
      <c r="O385" s="122"/>
      <c r="P385" s="4"/>
    </row>
    <row r="386" spans="1:16" ht="15">
      <c r="A386" s="85"/>
      <c r="B386" s="99"/>
      <c r="C386" s="97"/>
      <c r="D386" s="1" t="s">
        <v>100</v>
      </c>
      <c r="E386" s="2">
        <f t="shared" si="166"/>
        <v>2050</v>
      </c>
      <c r="F386" s="2">
        <f t="shared" si="167"/>
        <v>0</v>
      </c>
      <c r="G386" s="3">
        <f>G385</f>
        <v>2050</v>
      </c>
      <c r="H386" s="3">
        <v>0</v>
      </c>
      <c r="I386" s="3">
        <v>0</v>
      </c>
      <c r="J386" s="3">
        <v>0</v>
      </c>
      <c r="K386" s="3">
        <v>0</v>
      </c>
      <c r="L386" s="3">
        <v>0</v>
      </c>
      <c r="M386" s="3">
        <v>0</v>
      </c>
      <c r="N386" s="3">
        <v>0</v>
      </c>
      <c r="O386" s="122"/>
      <c r="P386" s="4"/>
    </row>
    <row r="387" spans="1:16" ht="15">
      <c r="A387" s="86"/>
      <c r="B387" s="100"/>
      <c r="C387" s="97"/>
      <c r="D387" s="1" t="s">
        <v>101</v>
      </c>
      <c r="E387" s="2">
        <f t="shared" si="166"/>
        <v>2050</v>
      </c>
      <c r="F387" s="2">
        <f t="shared" si="167"/>
        <v>0</v>
      </c>
      <c r="G387" s="3">
        <f>G386</f>
        <v>2050</v>
      </c>
      <c r="H387" s="3">
        <v>0</v>
      </c>
      <c r="I387" s="3">
        <v>0</v>
      </c>
      <c r="J387" s="3">
        <v>0</v>
      </c>
      <c r="K387" s="3">
        <v>0</v>
      </c>
      <c r="L387" s="3">
        <v>0</v>
      </c>
      <c r="M387" s="3">
        <v>0</v>
      </c>
      <c r="N387" s="3">
        <v>0</v>
      </c>
      <c r="O387" s="122"/>
      <c r="P387" s="4"/>
    </row>
    <row r="388" spans="1:16" s="12" customFormat="1" ht="15.75" customHeight="1">
      <c r="A388" s="84"/>
      <c r="B388" s="99" t="s">
        <v>95</v>
      </c>
      <c r="C388" s="84"/>
      <c r="D388" s="10" t="s">
        <v>11</v>
      </c>
      <c r="E388" s="2">
        <f>SUM(E389:E399)</f>
        <v>26317.000000000004</v>
      </c>
      <c r="F388" s="2">
        <f aca="true" t="shared" si="168" ref="F388:N388">SUM(F389:F399)</f>
        <v>16928.8</v>
      </c>
      <c r="G388" s="2">
        <f t="shared" si="168"/>
        <v>26317.000000000004</v>
      </c>
      <c r="H388" s="2">
        <f t="shared" si="168"/>
        <v>16928.8</v>
      </c>
      <c r="I388" s="2">
        <f t="shared" si="168"/>
        <v>0</v>
      </c>
      <c r="J388" s="2">
        <f t="shared" si="168"/>
        <v>0</v>
      </c>
      <c r="K388" s="2">
        <f t="shared" si="168"/>
        <v>0</v>
      </c>
      <c r="L388" s="2">
        <f t="shared" si="168"/>
        <v>0</v>
      </c>
      <c r="M388" s="2">
        <f t="shared" si="168"/>
        <v>0</v>
      </c>
      <c r="N388" s="2">
        <f t="shared" si="168"/>
        <v>0</v>
      </c>
      <c r="O388" s="122" t="s">
        <v>90</v>
      </c>
      <c r="P388" s="4"/>
    </row>
    <row r="389" spans="1:16" s="26" customFormat="1" ht="15">
      <c r="A389" s="85"/>
      <c r="B389" s="99"/>
      <c r="C389" s="85"/>
      <c r="D389" s="1" t="s">
        <v>12</v>
      </c>
      <c r="E389" s="2">
        <f aca="true" t="shared" si="169" ref="E389:E399">G389+I389+K389+M389</f>
        <v>0</v>
      </c>
      <c r="F389" s="2">
        <f aca="true" t="shared" si="170" ref="F389:F399">H389+J389+L389+N389</f>
        <v>0</v>
      </c>
      <c r="G389" s="3">
        <v>0</v>
      </c>
      <c r="H389" s="3">
        <v>0</v>
      </c>
      <c r="I389" s="3">
        <v>0</v>
      </c>
      <c r="J389" s="3">
        <v>0</v>
      </c>
      <c r="K389" s="3">
        <v>0</v>
      </c>
      <c r="L389" s="3">
        <v>0</v>
      </c>
      <c r="M389" s="3">
        <v>0</v>
      </c>
      <c r="N389" s="3">
        <v>0</v>
      </c>
      <c r="O389" s="122"/>
      <c r="P389" s="37"/>
    </row>
    <row r="390" spans="1:16" ht="15">
      <c r="A390" s="85"/>
      <c r="B390" s="99"/>
      <c r="C390" s="85"/>
      <c r="D390" s="1" t="s">
        <v>13</v>
      </c>
      <c r="E390" s="2">
        <f t="shared" si="169"/>
        <v>0</v>
      </c>
      <c r="F390" s="2">
        <f t="shared" si="170"/>
        <v>0</v>
      </c>
      <c r="G390" s="3">
        <v>0</v>
      </c>
      <c r="H390" s="3">
        <v>0</v>
      </c>
      <c r="I390" s="3">
        <v>0</v>
      </c>
      <c r="J390" s="3">
        <v>0</v>
      </c>
      <c r="K390" s="3">
        <v>0</v>
      </c>
      <c r="L390" s="3">
        <v>0</v>
      </c>
      <c r="M390" s="3">
        <v>0</v>
      </c>
      <c r="N390" s="3">
        <v>0</v>
      </c>
      <c r="O390" s="122"/>
      <c r="P390" s="4"/>
    </row>
    <row r="391" spans="1:16" ht="15" customHeight="1">
      <c r="A391" s="85"/>
      <c r="B391" s="99"/>
      <c r="C391" s="86"/>
      <c r="D391" s="1" t="s">
        <v>14</v>
      </c>
      <c r="E391" s="2">
        <f t="shared" si="169"/>
        <v>0</v>
      </c>
      <c r="F391" s="2">
        <f t="shared" si="170"/>
        <v>0</v>
      </c>
      <c r="G391" s="3">
        <v>0</v>
      </c>
      <c r="H391" s="3">
        <v>0</v>
      </c>
      <c r="I391" s="3">
        <v>0</v>
      </c>
      <c r="J391" s="3">
        <v>0</v>
      </c>
      <c r="K391" s="3">
        <v>0</v>
      </c>
      <c r="L391" s="3">
        <v>0</v>
      </c>
      <c r="M391" s="3">
        <v>0</v>
      </c>
      <c r="N391" s="3">
        <v>0</v>
      </c>
      <c r="O391" s="122"/>
      <c r="P391" s="4"/>
    </row>
    <row r="392" spans="1:16" ht="15">
      <c r="A392" s="85"/>
      <c r="B392" s="99"/>
      <c r="C392" s="97" t="s">
        <v>82</v>
      </c>
      <c r="D392" s="1" t="s">
        <v>15</v>
      </c>
      <c r="E392" s="2">
        <f t="shared" si="169"/>
        <v>3652.7</v>
      </c>
      <c r="F392" s="2">
        <f t="shared" si="170"/>
        <v>3652.7</v>
      </c>
      <c r="G392" s="3">
        <v>3652.7</v>
      </c>
      <c r="H392" s="3">
        <f>G392</f>
        <v>3652.7</v>
      </c>
      <c r="I392" s="3">
        <v>0</v>
      </c>
      <c r="J392" s="3">
        <v>0</v>
      </c>
      <c r="K392" s="3">
        <f>K391</f>
        <v>0</v>
      </c>
      <c r="L392" s="3">
        <v>0</v>
      </c>
      <c r="M392" s="3">
        <v>0</v>
      </c>
      <c r="N392" s="3">
        <v>0</v>
      </c>
      <c r="O392" s="122"/>
      <c r="P392" s="4"/>
    </row>
    <row r="393" spans="1:16" ht="15">
      <c r="A393" s="85"/>
      <c r="B393" s="99"/>
      <c r="C393" s="97"/>
      <c r="D393" s="1" t="s">
        <v>16</v>
      </c>
      <c r="E393" s="2">
        <f t="shared" si="169"/>
        <v>3887.9</v>
      </c>
      <c r="F393" s="2">
        <f t="shared" si="170"/>
        <v>3887.9</v>
      </c>
      <c r="G393" s="3">
        <f>H393</f>
        <v>3887.9</v>
      </c>
      <c r="H393" s="3">
        <v>3887.9</v>
      </c>
      <c r="I393" s="3">
        <v>0</v>
      </c>
      <c r="J393" s="3">
        <v>0</v>
      </c>
      <c r="K393" s="3">
        <f>K392</f>
        <v>0</v>
      </c>
      <c r="L393" s="3">
        <v>0</v>
      </c>
      <c r="M393" s="3">
        <v>0</v>
      </c>
      <c r="N393" s="3">
        <v>0</v>
      </c>
      <c r="O393" s="122"/>
      <c r="P393" s="4"/>
    </row>
    <row r="394" spans="1:16" ht="15">
      <c r="A394" s="85"/>
      <c r="B394" s="99"/>
      <c r="C394" s="97"/>
      <c r="D394" s="1" t="s">
        <v>17</v>
      </c>
      <c r="E394" s="2">
        <f t="shared" si="169"/>
        <v>3129.4</v>
      </c>
      <c r="F394" s="2">
        <f t="shared" si="170"/>
        <v>3129.4</v>
      </c>
      <c r="G394" s="3">
        <f>H394</f>
        <v>3129.4</v>
      </c>
      <c r="H394" s="3">
        <v>3129.4</v>
      </c>
      <c r="I394" s="3">
        <v>0</v>
      </c>
      <c r="J394" s="3">
        <v>0</v>
      </c>
      <c r="K394" s="3">
        <f>K393</f>
        <v>0</v>
      </c>
      <c r="L394" s="3">
        <v>0</v>
      </c>
      <c r="M394" s="3">
        <v>0</v>
      </c>
      <c r="N394" s="3">
        <v>0</v>
      </c>
      <c r="O394" s="122"/>
      <c r="P394" s="4"/>
    </row>
    <row r="395" spans="1:16" ht="15">
      <c r="A395" s="85"/>
      <c r="B395" s="99"/>
      <c r="C395" s="97"/>
      <c r="D395" s="1" t="s">
        <v>97</v>
      </c>
      <c r="E395" s="2">
        <f t="shared" si="169"/>
        <v>3129.4</v>
      </c>
      <c r="F395" s="2">
        <f t="shared" si="170"/>
        <v>3129.4</v>
      </c>
      <c r="G395" s="3">
        <f>H395</f>
        <v>3129.4</v>
      </c>
      <c r="H395" s="3">
        <v>3129.4</v>
      </c>
      <c r="I395" s="3">
        <v>0</v>
      </c>
      <c r="J395" s="3">
        <v>0</v>
      </c>
      <c r="K395" s="3">
        <v>0</v>
      </c>
      <c r="L395" s="3">
        <v>0</v>
      </c>
      <c r="M395" s="3">
        <v>0</v>
      </c>
      <c r="N395" s="3">
        <v>0</v>
      </c>
      <c r="O395" s="122"/>
      <c r="P395" s="4"/>
    </row>
    <row r="396" spans="1:16" ht="15">
      <c r="A396" s="85"/>
      <c r="B396" s="99"/>
      <c r="C396" s="97"/>
      <c r="D396" s="1" t="s">
        <v>98</v>
      </c>
      <c r="E396" s="2">
        <f t="shared" si="169"/>
        <v>3129.4</v>
      </c>
      <c r="F396" s="2">
        <f t="shared" si="170"/>
        <v>3129.4</v>
      </c>
      <c r="G396" s="3">
        <f>G395</f>
        <v>3129.4</v>
      </c>
      <c r="H396" s="3">
        <v>3129.4</v>
      </c>
      <c r="I396" s="3">
        <v>0</v>
      </c>
      <c r="J396" s="3">
        <v>0</v>
      </c>
      <c r="K396" s="3">
        <v>0</v>
      </c>
      <c r="L396" s="3">
        <v>0</v>
      </c>
      <c r="M396" s="3">
        <v>0</v>
      </c>
      <c r="N396" s="3">
        <v>0</v>
      </c>
      <c r="O396" s="122"/>
      <c r="P396" s="4"/>
    </row>
    <row r="397" spans="1:16" ht="15">
      <c r="A397" s="85"/>
      <c r="B397" s="99"/>
      <c r="C397" s="97"/>
      <c r="D397" s="1" t="s">
        <v>99</v>
      </c>
      <c r="E397" s="2">
        <f t="shared" si="169"/>
        <v>3129.4</v>
      </c>
      <c r="F397" s="2">
        <f t="shared" si="170"/>
        <v>0</v>
      </c>
      <c r="G397" s="3">
        <f>G396</f>
        <v>3129.4</v>
      </c>
      <c r="H397" s="3">
        <v>0</v>
      </c>
      <c r="I397" s="3">
        <v>0</v>
      </c>
      <c r="J397" s="3">
        <v>0</v>
      </c>
      <c r="K397" s="3">
        <v>0</v>
      </c>
      <c r="L397" s="3">
        <v>0</v>
      </c>
      <c r="M397" s="3">
        <v>0</v>
      </c>
      <c r="N397" s="3">
        <v>0</v>
      </c>
      <c r="O397" s="122"/>
      <c r="P397" s="4"/>
    </row>
    <row r="398" spans="1:16" ht="15">
      <c r="A398" s="85"/>
      <c r="B398" s="99"/>
      <c r="C398" s="97"/>
      <c r="D398" s="1" t="s">
        <v>100</v>
      </c>
      <c r="E398" s="2">
        <f t="shared" si="169"/>
        <v>3129.4</v>
      </c>
      <c r="F398" s="2">
        <f t="shared" si="170"/>
        <v>0</v>
      </c>
      <c r="G398" s="3">
        <f>G397</f>
        <v>3129.4</v>
      </c>
      <c r="H398" s="3">
        <v>0</v>
      </c>
      <c r="I398" s="3">
        <v>0</v>
      </c>
      <c r="J398" s="3">
        <v>0</v>
      </c>
      <c r="K398" s="3">
        <v>0</v>
      </c>
      <c r="L398" s="3">
        <v>0</v>
      </c>
      <c r="M398" s="3">
        <v>0</v>
      </c>
      <c r="N398" s="3">
        <v>0</v>
      </c>
      <c r="O398" s="122"/>
      <c r="P398" s="4"/>
    </row>
    <row r="399" spans="1:16" ht="15">
      <c r="A399" s="86"/>
      <c r="B399" s="100"/>
      <c r="C399" s="97"/>
      <c r="D399" s="1" t="s">
        <v>101</v>
      </c>
      <c r="E399" s="2">
        <f t="shared" si="169"/>
        <v>3129.4</v>
      </c>
      <c r="F399" s="2">
        <f t="shared" si="170"/>
        <v>0</v>
      </c>
      <c r="G399" s="3">
        <f>G398</f>
        <v>3129.4</v>
      </c>
      <c r="H399" s="3">
        <v>0</v>
      </c>
      <c r="I399" s="3">
        <v>0</v>
      </c>
      <c r="J399" s="3">
        <v>0</v>
      </c>
      <c r="K399" s="3">
        <v>0</v>
      </c>
      <c r="L399" s="3">
        <v>0</v>
      </c>
      <c r="M399" s="3">
        <v>0</v>
      </c>
      <c r="N399" s="3">
        <v>0</v>
      </c>
      <c r="O399" s="122"/>
      <c r="P399" s="4"/>
    </row>
    <row r="400" spans="1:16" ht="15" hidden="1">
      <c r="A400" s="7"/>
      <c r="B400" s="14"/>
      <c r="C400" s="10"/>
      <c r="D400" s="10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72"/>
      <c r="P400" s="4"/>
    </row>
    <row r="401" spans="1:16" s="12" customFormat="1" ht="35.25" customHeight="1" hidden="1">
      <c r="A401" s="84"/>
      <c r="B401" s="107"/>
      <c r="C401" s="6"/>
      <c r="D401" s="10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73"/>
      <c r="P401" s="4"/>
    </row>
    <row r="402" spans="1:16" s="12" customFormat="1" ht="15.75" customHeight="1" hidden="1">
      <c r="A402" s="85"/>
      <c r="B402" s="107"/>
      <c r="C402" s="21"/>
      <c r="D402" s="10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73"/>
      <c r="P402" s="4"/>
    </row>
    <row r="403" spans="1:24" s="12" customFormat="1" ht="15" customHeight="1" hidden="1">
      <c r="A403" s="85"/>
      <c r="B403" s="107"/>
      <c r="C403" s="21"/>
      <c r="D403" s="10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73"/>
      <c r="P403" s="4"/>
      <c r="X403" s="33"/>
    </row>
    <row r="404" spans="1:16" s="12" customFormat="1" ht="15" hidden="1">
      <c r="A404" s="85"/>
      <c r="B404" s="107"/>
      <c r="C404" s="91"/>
      <c r="D404" s="10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73"/>
      <c r="P404" s="4"/>
    </row>
    <row r="405" spans="1:16" s="12" customFormat="1" ht="15" hidden="1">
      <c r="A405" s="85"/>
      <c r="B405" s="107"/>
      <c r="C405" s="91"/>
      <c r="D405" s="10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73"/>
      <c r="P405" s="4"/>
    </row>
    <row r="406" spans="1:16" s="12" customFormat="1" ht="15" hidden="1">
      <c r="A406" s="85"/>
      <c r="B406" s="107"/>
      <c r="C406" s="91"/>
      <c r="D406" s="10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74"/>
      <c r="P406" s="4"/>
    </row>
    <row r="407" spans="1:16" s="12" customFormat="1" ht="15.75" customHeight="1" hidden="1">
      <c r="A407" s="85"/>
      <c r="B407" s="99"/>
      <c r="C407" s="84"/>
      <c r="D407" s="10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122"/>
      <c r="P407" s="4"/>
    </row>
    <row r="408" spans="1:16" s="26" customFormat="1" ht="15" hidden="1">
      <c r="A408" s="85"/>
      <c r="B408" s="99"/>
      <c r="C408" s="85"/>
      <c r="D408" s="1"/>
      <c r="E408" s="2"/>
      <c r="F408" s="2"/>
      <c r="G408" s="3"/>
      <c r="H408" s="3"/>
      <c r="I408" s="3"/>
      <c r="J408" s="3"/>
      <c r="K408" s="3"/>
      <c r="L408" s="3"/>
      <c r="M408" s="3"/>
      <c r="N408" s="3"/>
      <c r="O408" s="122"/>
      <c r="P408" s="37"/>
    </row>
    <row r="409" spans="1:16" ht="15" hidden="1">
      <c r="A409" s="85"/>
      <c r="B409" s="99"/>
      <c r="C409" s="85"/>
      <c r="D409" s="1"/>
      <c r="E409" s="2"/>
      <c r="F409" s="2"/>
      <c r="G409" s="3"/>
      <c r="H409" s="3"/>
      <c r="I409" s="3"/>
      <c r="J409" s="3"/>
      <c r="K409" s="3"/>
      <c r="L409" s="3"/>
      <c r="M409" s="3"/>
      <c r="N409" s="3"/>
      <c r="O409" s="122"/>
      <c r="P409" s="4"/>
    </row>
    <row r="410" spans="1:16" ht="15" customHeight="1" hidden="1">
      <c r="A410" s="85"/>
      <c r="B410" s="99"/>
      <c r="C410" s="86"/>
      <c r="D410" s="1"/>
      <c r="E410" s="2"/>
      <c r="F410" s="2"/>
      <c r="G410" s="3"/>
      <c r="H410" s="3"/>
      <c r="I410" s="3"/>
      <c r="J410" s="3"/>
      <c r="K410" s="3"/>
      <c r="L410" s="3"/>
      <c r="M410" s="3"/>
      <c r="N410" s="3"/>
      <c r="O410" s="122"/>
      <c r="P410" s="4"/>
    </row>
    <row r="411" spans="1:16" ht="15" hidden="1">
      <c r="A411" s="85"/>
      <c r="B411" s="99"/>
      <c r="C411" s="97"/>
      <c r="D411" s="1"/>
      <c r="E411" s="2"/>
      <c r="F411" s="2"/>
      <c r="G411" s="3"/>
      <c r="H411" s="3"/>
      <c r="I411" s="3"/>
      <c r="J411" s="3"/>
      <c r="K411" s="3"/>
      <c r="L411" s="3"/>
      <c r="M411" s="3"/>
      <c r="N411" s="3"/>
      <c r="O411" s="122"/>
      <c r="P411" s="4"/>
    </row>
    <row r="412" spans="1:16" ht="15" hidden="1">
      <c r="A412" s="85"/>
      <c r="B412" s="99"/>
      <c r="C412" s="97"/>
      <c r="D412" s="1"/>
      <c r="E412" s="2"/>
      <c r="F412" s="2"/>
      <c r="G412" s="3"/>
      <c r="H412" s="3"/>
      <c r="I412" s="3"/>
      <c r="J412" s="3"/>
      <c r="K412" s="3"/>
      <c r="L412" s="3"/>
      <c r="M412" s="3"/>
      <c r="N412" s="3"/>
      <c r="O412" s="122"/>
      <c r="P412" s="4"/>
    </row>
    <row r="413" spans="1:16" ht="15" hidden="1">
      <c r="A413" s="85"/>
      <c r="B413" s="100"/>
      <c r="C413" s="97"/>
      <c r="D413" s="1"/>
      <c r="E413" s="2"/>
      <c r="F413" s="2"/>
      <c r="G413" s="3"/>
      <c r="H413" s="3"/>
      <c r="I413" s="3"/>
      <c r="J413" s="3"/>
      <c r="K413" s="3"/>
      <c r="L413" s="3"/>
      <c r="M413" s="3"/>
      <c r="N413" s="3"/>
      <c r="O413" s="122"/>
      <c r="P413" s="4"/>
    </row>
    <row r="414" spans="1:16" s="12" customFormat="1" ht="15.75" customHeight="1" hidden="1">
      <c r="A414" s="85"/>
      <c r="B414" s="99"/>
      <c r="C414" s="84"/>
      <c r="D414" s="10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122"/>
      <c r="P414" s="4"/>
    </row>
    <row r="415" spans="1:16" s="26" customFormat="1" ht="15" hidden="1">
      <c r="A415" s="85"/>
      <c r="B415" s="99"/>
      <c r="C415" s="85"/>
      <c r="D415" s="1"/>
      <c r="E415" s="2"/>
      <c r="F415" s="2"/>
      <c r="G415" s="3"/>
      <c r="H415" s="3"/>
      <c r="I415" s="3"/>
      <c r="J415" s="3"/>
      <c r="K415" s="3"/>
      <c r="L415" s="3"/>
      <c r="M415" s="3"/>
      <c r="N415" s="3"/>
      <c r="O415" s="122"/>
      <c r="P415" s="37"/>
    </row>
    <row r="416" spans="1:16" ht="15" hidden="1">
      <c r="A416" s="85"/>
      <c r="B416" s="99"/>
      <c r="C416" s="85"/>
      <c r="D416" s="1"/>
      <c r="E416" s="2"/>
      <c r="F416" s="2"/>
      <c r="G416" s="3"/>
      <c r="H416" s="3"/>
      <c r="I416" s="3"/>
      <c r="J416" s="3"/>
      <c r="K416" s="3"/>
      <c r="L416" s="3"/>
      <c r="M416" s="3"/>
      <c r="N416" s="3"/>
      <c r="O416" s="122"/>
      <c r="P416" s="4"/>
    </row>
    <row r="417" spans="1:16" ht="15" customHeight="1" hidden="1">
      <c r="A417" s="85"/>
      <c r="B417" s="99"/>
      <c r="C417" s="86"/>
      <c r="D417" s="1"/>
      <c r="E417" s="2"/>
      <c r="F417" s="2"/>
      <c r="G417" s="3"/>
      <c r="H417" s="3"/>
      <c r="I417" s="3"/>
      <c r="J417" s="3"/>
      <c r="K417" s="3"/>
      <c r="L417" s="3"/>
      <c r="M417" s="3"/>
      <c r="N417" s="3"/>
      <c r="O417" s="122"/>
      <c r="P417" s="4"/>
    </row>
    <row r="418" spans="1:16" ht="15" hidden="1">
      <c r="A418" s="85"/>
      <c r="B418" s="99"/>
      <c r="C418" s="97"/>
      <c r="D418" s="1"/>
      <c r="E418" s="2"/>
      <c r="F418" s="2"/>
      <c r="G418" s="3"/>
      <c r="H418" s="3"/>
      <c r="I418" s="3"/>
      <c r="J418" s="3"/>
      <c r="K418" s="3"/>
      <c r="L418" s="3"/>
      <c r="M418" s="3"/>
      <c r="N418" s="3"/>
      <c r="O418" s="122"/>
      <c r="P418" s="4"/>
    </row>
    <row r="419" spans="1:16" ht="15" hidden="1">
      <c r="A419" s="85"/>
      <c r="B419" s="99"/>
      <c r="C419" s="97"/>
      <c r="D419" s="1"/>
      <c r="E419" s="2"/>
      <c r="F419" s="2"/>
      <c r="G419" s="3"/>
      <c r="H419" s="3"/>
      <c r="I419" s="3"/>
      <c r="J419" s="3"/>
      <c r="K419" s="3"/>
      <c r="L419" s="3"/>
      <c r="M419" s="3"/>
      <c r="N419" s="3"/>
      <c r="O419" s="122"/>
      <c r="P419" s="4"/>
    </row>
    <row r="420" spans="1:16" ht="15" hidden="1">
      <c r="A420" s="85"/>
      <c r="B420" s="100"/>
      <c r="C420" s="97"/>
      <c r="D420" s="1"/>
      <c r="E420" s="2"/>
      <c r="F420" s="2"/>
      <c r="G420" s="3"/>
      <c r="H420" s="3"/>
      <c r="I420" s="3"/>
      <c r="J420" s="3"/>
      <c r="K420" s="3"/>
      <c r="L420" s="3"/>
      <c r="M420" s="3"/>
      <c r="N420" s="3"/>
      <c r="O420" s="122"/>
      <c r="P420" s="4"/>
    </row>
    <row r="421" spans="1:16" s="12" customFormat="1" ht="15.75" customHeight="1" hidden="1">
      <c r="A421" s="85"/>
      <c r="B421" s="99"/>
      <c r="C421" s="84"/>
      <c r="D421" s="10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122"/>
      <c r="P421" s="4"/>
    </row>
    <row r="422" spans="1:16" s="26" customFormat="1" ht="15" hidden="1">
      <c r="A422" s="85"/>
      <c r="B422" s="99"/>
      <c r="C422" s="85"/>
      <c r="D422" s="1"/>
      <c r="E422" s="2"/>
      <c r="F422" s="2"/>
      <c r="G422" s="3"/>
      <c r="H422" s="3"/>
      <c r="I422" s="3"/>
      <c r="J422" s="3"/>
      <c r="K422" s="3"/>
      <c r="L422" s="3"/>
      <c r="M422" s="3"/>
      <c r="N422" s="3"/>
      <c r="O422" s="122"/>
      <c r="P422" s="37"/>
    </row>
    <row r="423" spans="1:16" ht="15" hidden="1">
      <c r="A423" s="85"/>
      <c r="B423" s="99"/>
      <c r="C423" s="85"/>
      <c r="D423" s="1"/>
      <c r="E423" s="2"/>
      <c r="F423" s="2"/>
      <c r="G423" s="3"/>
      <c r="H423" s="3"/>
      <c r="I423" s="3"/>
      <c r="J423" s="3"/>
      <c r="K423" s="3"/>
      <c r="L423" s="3"/>
      <c r="M423" s="3"/>
      <c r="N423" s="3"/>
      <c r="O423" s="122"/>
      <c r="P423" s="4"/>
    </row>
    <row r="424" spans="1:16" ht="15" customHeight="1" hidden="1">
      <c r="A424" s="85"/>
      <c r="B424" s="99"/>
      <c r="C424" s="86"/>
      <c r="D424" s="1"/>
      <c r="E424" s="2"/>
      <c r="F424" s="2"/>
      <c r="G424" s="3"/>
      <c r="H424" s="3"/>
      <c r="I424" s="3"/>
      <c r="J424" s="3"/>
      <c r="K424" s="3"/>
      <c r="L424" s="3"/>
      <c r="M424" s="3"/>
      <c r="N424" s="3"/>
      <c r="O424" s="122"/>
      <c r="P424" s="4"/>
    </row>
    <row r="425" spans="1:16" ht="15" hidden="1">
      <c r="A425" s="85"/>
      <c r="B425" s="99"/>
      <c r="C425" s="97"/>
      <c r="D425" s="1"/>
      <c r="E425" s="2"/>
      <c r="F425" s="2"/>
      <c r="G425" s="3"/>
      <c r="H425" s="3"/>
      <c r="I425" s="3"/>
      <c r="J425" s="3"/>
      <c r="K425" s="3"/>
      <c r="L425" s="3"/>
      <c r="M425" s="3"/>
      <c r="N425" s="3"/>
      <c r="O425" s="122"/>
      <c r="P425" s="4"/>
    </row>
    <row r="426" spans="1:16" ht="15" hidden="1">
      <c r="A426" s="85"/>
      <c r="B426" s="99"/>
      <c r="C426" s="97"/>
      <c r="D426" s="1"/>
      <c r="E426" s="2"/>
      <c r="F426" s="2"/>
      <c r="G426" s="3"/>
      <c r="H426" s="3"/>
      <c r="I426" s="3"/>
      <c r="J426" s="3"/>
      <c r="K426" s="3"/>
      <c r="L426" s="3"/>
      <c r="M426" s="3"/>
      <c r="N426" s="3"/>
      <c r="O426" s="122"/>
      <c r="P426" s="4"/>
    </row>
    <row r="427" spans="1:16" ht="15" hidden="1">
      <c r="A427" s="85"/>
      <c r="B427" s="100"/>
      <c r="C427" s="97"/>
      <c r="D427" s="1"/>
      <c r="E427" s="2"/>
      <c r="F427" s="2"/>
      <c r="G427" s="3"/>
      <c r="H427" s="3"/>
      <c r="I427" s="3"/>
      <c r="J427" s="3"/>
      <c r="K427" s="3"/>
      <c r="L427" s="3"/>
      <c r="M427" s="3"/>
      <c r="N427" s="3"/>
      <c r="O427" s="122"/>
      <c r="P427" s="4"/>
    </row>
    <row r="428" spans="1:16" s="12" customFormat="1" ht="15.75" customHeight="1" hidden="1">
      <c r="A428" s="85"/>
      <c r="B428" s="99"/>
      <c r="C428" s="84"/>
      <c r="D428" s="10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122"/>
      <c r="P428" s="4"/>
    </row>
    <row r="429" spans="1:16" s="26" customFormat="1" ht="15" hidden="1">
      <c r="A429" s="85"/>
      <c r="B429" s="99"/>
      <c r="C429" s="85"/>
      <c r="D429" s="1"/>
      <c r="E429" s="2"/>
      <c r="F429" s="2"/>
      <c r="G429" s="3"/>
      <c r="H429" s="3"/>
      <c r="I429" s="3"/>
      <c r="J429" s="3"/>
      <c r="K429" s="3"/>
      <c r="L429" s="3"/>
      <c r="M429" s="3"/>
      <c r="N429" s="3"/>
      <c r="O429" s="122"/>
      <c r="P429" s="37"/>
    </row>
    <row r="430" spans="1:16" ht="15" hidden="1">
      <c r="A430" s="85"/>
      <c r="B430" s="99"/>
      <c r="C430" s="85"/>
      <c r="D430" s="1"/>
      <c r="E430" s="2"/>
      <c r="F430" s="2"/>
      <c r="G430" s="3"/>
      <c r="H430" s="3"/>
      <c r="I430" s="3"/>
      <c r="J430" s="3"/>
      <c r="K430" s="3"/>
      <c r="L430" s="3"/>
      <c r="M430" s="3"/>
      <c r="N430" s="3"/>
      <c r="O430" s="122"/>
      <c r="P430" s="4"/>
    </row>
    <row r="431" spans="1:16" ht="15" customHeight="1" hidden="1">
      <c r="A431" s="85"/>
      <c r="B431" s="99"/>
      <c r="C431" s="86"/>
      <c r="D431" s="1"/>
      <c r="E431" s="2"/>
      <c r="F431" s="2"/>
      <c r="G431" s="3"/>
      <c r="H431" s="3"/>
      <c r="I431" s="3"/>
      <c r="J431" s="3"/>
      <c r="K431" s="3"/>
      <c r="L431" s="3"/>
      <c r="M431" s="3"/>
      <c r="N431" s="3"/>
      <c r="O431" s="122"/>
      <c r="P431" s="4"/>
    </row>
    <row r="432" spans="1:16" ht="15" hidden="1">
      <c r="A432" s="85"/>
      <c r="B432" s="99"/>
      <c r="C432" s="97"/>
      <c r="D432" s="1"/>
      <c r="E432" s="2"/>
      <c r="F432" s="2"/>
      <c r="G432" s="3"/>
      <c r="H432" s="3"/>
      <c r="I432" s="3"/>
      <c r="J432" s="3"/>
      <c r="K432" s="3"/>
      <c r="L432" s="3"/>
      <c r="M432" s="3"/>
      <c r="N432" s="3"/>
      <c r="O432" s="122"/>
      <c r="P432" s="4"/>
    </row>
    <row r="433" spans="1:16" ht="15" hidden="1">
      <c r="A433" s="85"/>
      <c r="B433" s="99"/>
      <c r="C433" s="97"/>
      <c r="D433" s="1"/>
      <c r="E433" s="2"/>
      <c r="F433" s="2"/>
      <c r="G433" s="3"/>
      <c r="H433" s="3"/>
      <c r="I433" s="3"/>
      <c r="J433" s="3"/>
      <c r="K433" s="3"/>
      <c r="L433" s="3"/>
      <c r="M433" s="3"/>
      <c r="N433" s="3"/>
      <c r="O433" s="122"/>
      <c r="P433" s="4"/>
    </row>
    <row r="434" spans="1:16" ht="15" hidden="1">
      <c r="A434" s="86"/>
      <c r="B434" s="100"/>
      <c r="C434" s="97"/>
      <c r="D434" s="1"/>
      <c r="E434" s="2"/>
      <c r="F434" s="2"/>
      <c r="G434" s="3"/>
      <c r="H434" s="3"/>
      <c r="I434" s="3"/>
      <c r="J434" s="3"/>
      <c r="K434" s="3"/>
      <c r="L434" s="3"/>
      <c r="M434" s="3"/>
      <c r="N434" s="3"/>
      <c r="O434" s="122"/>
      <c r="P434" s="4"/>
    </row>
    <row r="435" spans="1:16" ht="15" customHeight="1">
      <c r="A435" s="7"/>
      <c r="B435" s="14" t="s">
        <v>122</v>
      </c>
      <c r="C435" s="10"/>
      <c r="D435" s="10" t="s">
        <v>11</v>
      </c>
      <c r="E435" s="2">
        <f aca="true" t="shared" si="171" ref="E435:N435">SUM(E436:E446)</f>
        <v>36560</v>
      </c>
      <c r="F435" s="2">
        <f t="shared" si="171"/>
        <v>5000</v>
      </c>
      <c r="G435" s="2">
        <f t="shared" si="171"/>
        <v>1560</v>
      </c>
      <c r="H435" s="2">
        <f t="shared" si="171"/>
        <v>0</v>
      </c>
      <c r="I435" s="2">
        <f t="shared" si="171"/>
        <v>35000</v>
      </c>
      <c r="J435" s="2">
        <f t="shared" si="171"/>
        <v>5000</v>
      </c>
      <c r="K435" s="2">
        <f t="shared" si="171"/>
        <v>0</v>
      </c>
      <c r="L435" s="2">
        <f t="shared" si="171"/>
        <v>0</v>
      </c>
      <c r="M435" s="2">
        <f t="shared" si="171"/>
        <v>0</v>
      </c>
      <c r="N435" s="2">
        <f t="shared" si="171"/>
        <v>0</v>
      </c>
      <c r="O435" s="19"/>
      <c r="P435" s="4"/>
    </row>
    <row r="436" spans="1:16" s="12" customFormat="1" ht="35.25" customHeight="1" hidden="1">
      <c r="A436" s="84"/>
      <c r="B436" s="107" t="s">
        <v>123</v>
      </c>
      <c r="C436" s="10"/>
      <c r="D436" s="10" t="s">
        <v>12</v>
      </c>
      <c r="E436" s="2">
        <f>G436+I436+K436+M436</f>
        <v>0</v>
      </c>
      <c r="F436" s="2">
        <f aca="true" t="shared" si="172" ref="F436:F446">H436+J436+L436+N436</f>
        <v>0</v>
      </c>
      <c r="G436" s="2"/>
      <c r="H436" s="2"/>
      <c r="I436" s="2"/>
      <c r="J436" s="2"/>
      <c r="K436" s="2"/>
      <c r="L436" s="2"/>
      <c r="M436" s="2"/>
      <c r="N436" s="2"/>
      <c r="O436" s="19"/>
      <c r="P436" s="4"/>
    </row>
    <row r="437" spans="1:16" s="12" customFormat="1" ht="15.75" customHeight="1" hidden="1">
      <c r="A437" s="85"/>
      <c r="B437" s="107"/>
      <c r="C437" s="84" t="s">
        <v>128</v>
      </c>
      <c r="D437" s="10" t="s">
        <v>13</v>
      </c>
      <c r="E437" s="2">
        <f>G437+I437+K437+M437</f>
        <v>0</v>
      </c>
      <c r="F437" s="2">
        <f t="shared" si="172"/>
        <v>0</v>
      </c>
      <c r="G437" s="2"/>
      <c r="H437" s="2"/>
      <c r="I437" s="2"/>
      <c r="J437" s="2"/>
      <c r="K437" s="2"/>
      <c r="L437" s="2"/>
      <c r="M437" s="2"/>
      <c r="N437" s="2"/>
      <c r="O437" s="19"/>
      <c r="P437" s="4"/>
    </row>
    <row r="438" spans="1:24" s="12" customFormat="1" ht="15" customHeight="1" hidden="1">
      <c r="A438" s="85"/>
      <c r="B438" s="107"/>
      <c r="C438" s="85"/>
      <c r="D438" s="10" t="s">
        <v>14</v>
      </c>
      <c r="E438" s="2">
        <f>G438+I438+K438+M438</f>
        <v>0</v>
      </c>
      <c r="F438" s="2">
        <f t="shared" si="172"/>
        <v>0</v>
      </c>
      <c r="G438" s="2"/>
      <c r="H438" s="2"/>
      <c r="I438" s="2"/>
      <c r="J438" s="2"/>
      <c r="K438" s="2"/>
      <c r="L438" s="2"/>
      <c r="M438" s="2"/>
      <c r="N438" s="2"/>
      <c r="O438" s="19"/>
      <c r="P438" s="4"/>
      <c r="X438" s="33"/>
    </row>
    <row r="439" spans="1:16" s="12" customFormat="1" ht="15" hidden="1">
      <c r="A439" s="85"/>
      <c r="B439" s="107"/>
      <c r="C439" s="85"/>
      <c r="D439" s="10" t="s">
        <v>15</v>
      </c>
      <c r="E439" s="2">
        <f>G439+I439+K439+M439</f>
        <v>0</v>
      </c>
      <c r="F439" s="2">
        <f t="shared" si="172"/>
        <v>0</v>
      </c>
      <c r="G439" s="2"/>
      <c r="H439" s="2"/>
      <c r="I439" s="2"/>
      <c r="J439" s="2"/>
      <c r="K439" s="2"/>
      <c r="L439" s="2"/>
      <c r="M439" s="2"/>
      <c r="N439" s="2"/>
      <c r="O439" s="19"/>
      <c r="P439" s="4"/>
    </row>
    <row r="440" spans="1:16" s="12" customFormat="1" ht="15">
      <c r="A440" s="85"/>
      <c r="B440" s="107"/>
      <c r="C440" s="85"/>
      <c r="D440" s="10" t="s">
        <v>16</v>
      </c>
      <c r="E440" s="2">
        <f aca="true" t="shared" si="173" ref="E440:E446">G440+I440+K440+M440</f>
        <v>5000</v>
      </c>
      <c r="F440" s="2">
        <f t="shared" si="172"/>
        <v>5000</v>
      </c>
      <c r="G440" s="2">
        <f>G452</f>
        <v>0</v>
      </c>
      <c r="H440" s="2">
        <f aca="true" t="shared" si="174" ref="H440:N440">H452</f>
        <v>0</v>
      </c>
      <c r="I440" s="2">
        <f t="shared" si="174"/>
        <v>5000</v>
      </c>
      <c r="J440" s="2">
        <f t="shared" si="174"/>
        <v>5000</v>
      </c>
      <c r="K440" s="2">
        <f t="shared" si="174"/>
        <v>0</v>
      </c>
      <c r="L440" s="2">
        <f t="shared" si="174"/>
        <v>0</v>
      </c>
      <c r="M440" s="2">
        <f t="shared" si="174"/>
        <v>0</v>
      </c>
      <c r="N440" s="2">
        <f t="shared" si="174"/>
        <v>0</v>
      </c>
      <c r="O440" s="19"/>
      <c r="P440" s="4"/>
    </row>
    <row r="441" spans="1:16" s="12" customFormat="1" ht="15">
      <c r="A441" s="85"/>
      <c r="B441" s="107"/>
      <c r="C441" s="85"/>
      <c r="D441" s="10" t="s">
        <v>17</v>
      </c>
      <c r="E441" s="2">
        <f t="shared" si="173"/>
        <v>5260</v>
      </c>
      <c r="F441" s="2">
        <f t="shared" si="172"/>
        <v>0</v>
      </c>
      <c r="G441" s="2">
        <f aca="true" t="shared" si="175" ref="G441:N441">G453</f>
        <v>260</v>
      </c>
      <c r="H441" s="2">
        <f t="shared" si="175"/>
        <v>0</v>
      </c>
      <c r="I441" s="2">
        <f t="shared" si="175"/>
        <v>5000</v>
      </c>
      <c r="J441" s="2">
        <f t="shared" si="175"/>
        <v>0</v>
      </c>
      <c r="K441" s="2">
        <f t="shared" si="175"/>
        <v>0</v>
      </c>
      <c r="L441" s="2">
        <f t="shared" si="175"/>
        <v>0</v>
      </c>
      <c r="M441" s="2">
        <f t="shared" si="175"/>
        <v>0</v>
      </c>
      <c r="N441" s="2">
        <f t="shared" si="175"/>
        <v>0</v>
      </c>
      <c r="O441" s="19"/>
      <c r="P441" s="4"/>
    </row>
    <row r="442" spans="1:16" s="12" customFormat="1" ht="15">
      <c r="A442" s="85"/>
      <c r="B442" s="107"/>
      <c r="C442" s="85"/>
      <c r="D442" s="10" t="s">
        <v>97</v>
      </c>
      <c r="E442" s="2">
        <f t="shared" si="173"/>
        <v>5260</v>
      </c>
      <c r="F442" s="2">
        <f t="shared" si="172"/>
        <v>0</v>
      </c>
      <c r="G442" s="2">
        <f aca="true" t="shared" si="176" ref="G442:N442">G454</f>
        <v>260</v>
      </c>
      <c r="H442" s="2">
        <f t="shared" si="176"/>
        <v>0</v>
      </c>
      <c r="I442" s="2">
        <f t="shared" si="176"/>
        <v>5000</v>
      </c>
      <c r="J442" s="2">
        <f t="shared" si="176"/>
        <v>0</v>
      </c>
      <c r="K442" s="2">
        <f t="shared" si="176"/>
        <v>0</v>
      </c>
      <c r="L442" s="2">
        <f t="shared" si="176"/>
        <v>0</v>
      </c>
      <c r="M442" s="2">
        <f t="shared" si="176"/>
        <v>0</v>
      </c>
      <c r="N442" s="2">
        <f t="shared" si="176"/>
        <v>0</v>
      </c>
      <c r="O442" s="19"/>
      <c r="P442" s="4"/>
    </row>
    <row r="443" spans="1:16" s="12" customFormat="1" ht="15">
      <c r="A443" s="85"/>
      <c r="B443" s="107"/>
      <c r="C443" s="85"/>
      <c r="D443" s="10" t="s">
        <v>98</v>
      </c>
      <c r="E443" s="2">
        <f t="shared" si="173"/>
        <v>5260</v>
      </c>
      <c r="F443" s="2">
        <f t="shared" si="172"/>
        <v>0</v>
      </c>
      <c r="G443" s="2">
        <f aca="true" t="shared" si="177" ref="G443:N443">G455</f>
        <v>260</v>
      </c>
      <c r="H443" s="2">
        <f t="shared" si="177"/>
        <v>0</v>
      </c>
      <c r="I443" s="2">
        <f t="shared" si="177"/>
        <v>5000</v>
      </c>
      <c r="J443" s="2">
        <f t="shared" si="177"/>
        <v>0</v>
      </c>
      <c r="K443" s="2">
        <f t="shared" si="177"/>
        <v>0</v>
      </c>
      <c r="L443" s="2">
        <f t="shared" si="177"/>
        <v>0</v>
      </c>
      <c r="M443" s="2">
        <f t="shared" si="177"/>
        <v>0</v>
      </c>
      <c r="N443" s="2">
        <f t="shared" si="177"/>
        <v>0</v>
      </c>
      <c r="O443" s="19"/>
      <c r="P443" s="4"/>
    </row>
    <row r="444" spans="1:16" s="12" customFormat="1" ht="15">
      <c r="A444" s="85"/>
      <c r="B444" s="107"/>
      <c r="C444" s="85"/>
      <c r="D444" s="10" t="s">
        <v>99</v>
      </c>
      <c r="E444" s="2">
        <f t="shared" si="173"/>
        <v>5260</v>
      </c>
      <c r="F444" s="2">
        <f t="shared" si="172"/>
        <v>0</v>
      </c>
      <c r="G444" s="2">
        <f aca="true" t="shared" si="178" ref="G444:N444">G456</f>
        <v>260</v>
      </c>
      <c r="H444" s="2">
        <f t="shared" si="178"/>
        <v>0</v>
      </c>
      <c r="I444" s="2">
        <f t="shared" si="178"/>
        <v>5000</v>
      </c>
      <c r="J444" s="2">
        <f t="shared" si="178"/>
        <v>0</v>
      </c>
      <c r="K444" s="2">
        <f t="shared" si="178"/>
        <v>0</v>
      </c>
      <c r="L444" s="2">
        <f t="shared" si="178"/>
        <v>0</v>
      </c>
      <c r="M444" s="2">
        <f t="shared" si="178"/>
        <v>0</v>
      </c>
      <c r="N444" s="2">
        <f t="shared" si="178"/>
        <v>0</v>
      </c>
      <c r="O444" s="19"/>
      <c r="P444" s="4"/>
    </row>
    <row r="445" spans="1:16" s="12" customFormat="1" ht="15">
      <c r="A445" s="85"/>
      <c r="B445" s="107"/>
      <c r="C445" s="85"/>
      <c r="D445" s="10" t="s">
        <v>100</v>
      </c>
      <c r="E445" s="2">
        <f t="shared" si="173"/>
        <v>5260</v>
      </c>
      <c r="F445" s="2">
        <f t="shared" si="172"/>
        <v>0</v>
      </c>
      <c r="G445" s="2">
        <f aca="true" t="shared" si="179" ref="G445:N445">G457</f>
        <v>260</v>
      </c>
      <c r="H445" s="2">
        <f t="shared" si="179"/>
        <v>0</v>
      </c>
      <c r="I445" s="2">
        <f t="shared" si="179"/>
        <v>5000</v>
      </c>
      <c r="J445" s="2">
        <f t="shared" si="179"/>
        <v>0</v>
      </c>
      <c r="K445" s="2">
        <f t="shared" si="179"/>
        <v>0</v>
      </c>
      <c r="L445" s="2">
        <f t="shared" si="179"/>
        <v>0</v>
      </c>
      <c r="M445" s="2">
        <f t="shared" si="179"/>
        <v>0</v>
      </c>
      <c r="N445" s="2">
        <f t="shared" si="179"/>
        <v>0</v>
      </c>
      <c r="O445" s="19"/>
      <c r="P445" s="4"/>
    </row>
    <row r="446" spans="1:16" s="12" customFormat="1" ht="15">
      <c r="A446" s="86"/>
      <c r="B446" s="107"/>
      <c r="C446" s="86"/>
      <c r="D446" s="10" t="s">
        <v>101</v>
      </c>
      <c r="E446" s="2">
        <f t="shared" si="173"/>
        <v>5260</v>
      </c>
      <c r="F446" s="2">
        <f t="shared" si="172"/>
        <v>0</v>
      </c>
      <c r="G446" s="2">
        <f aca="true" t="shared" si="180" ref="G446:N446">G458</f>
        <v>260</v>
      </c>
      <c r="H446" s="2">
        <f t="shared" si="180"/>
        <v>0</v>
      </c>
      <c r="I446" s="2">
        <f t="shared" si="180"/>
        <v>5000</v>
      </c>
      <c r="J446" s="2">
        <f t="shared" si="180"/>
        <v>0</v>
      </c>
      <c r="K446" s="2">
        <f t="shared" si="180"/>
        <v>0</v>
      </c>
      <c r="L446" s="2">
        <f t="shared" si="180"/>
        <v>0</v>
      </c>
      <c r="M446" s="2">
        <f t="shared" si="180"/>
        <v>0</v>
      </c>
      <c r="N446" s="2">
        <f t="shared" si="180"/>
        <v>0</v>
      </c>
      <c r="O446" s="19"/>
      <c r="P446" s="4"/>
    </row>
    <row r="447" spans="1:16" s="12" customFormat="1" ht="15.75" customHeight="1">
      <c r="A447" s="84"/>
      <c r="B447" s="99" t="s">
        <v>124</v>
      </c>
      <c r="C447" s="84"/>
      <c r="D447" s="10" t="s">
        <v>11</v>
      </c>
      <c r="E447" s="2">
        <f>SUM(E448:E458)</f>
        <v>36560</v>
      </c>
      <c r="F447" s="2">
        <f aca="true" t="shared" si="181" ref="F447:N447">SUM(F448:F458)</f>
        <v>5000</v>
      </c>
      <c r="G447" s="2">
        <f t="shared" si="181"/>
        <v>1560</v>
      </c>
      <c r="H447" s="2">
        <f t="shared" si="181"/>
        <v>0</v>
      </c>
      <c r="I447" s="2">
        <f t="shared" si="181"/>
        <v>35000</v>
      </c>
      <c r="J447" s="2">
        <f t="shared" si="181"/>
        <v>5000</v>
      </c>
      <c r="K447" s="2">
        <f t="shared" si="181"/>
        <v>0</v>
      </c>
      <c r="L447" s="2">
        <f t="shared" si="181"/>
        <v>0</v>
      </c>
      <c r="M447" s="2">
        <f t="shared" si="181"/>
        <v>0</v>
      </c>
      <c r="N447" s="2">
        <f t="shared" si="181"/>
        <v>0</v>
      </c>
      <c r="O447" s="122" t="s">
        <v>90</v>
      </c>
      <c r="P447" s="4"/>
    </row>
    <row r="448" spans="1:16" s="26" customFormat="1" ht="15" hidden="1">
      <c r="A448" s="85"/>
      <c r="B448" s="99"/>
      <c r="C448" s="85"/>
      <c r="D448" s="1" t="s">
        <v>12</v>
      </c>
      <c r="E448" s="2">
        <f aca="true" t="shared" si="182" ref="E448:E458">G448+I448+K448+M448</f>
        <v>0</v>
      </c>
      <c r="F448" s="2">
        <f aca="true" t="shared" si="183" ref="F448:F458">H448+J448+L448+N448</f>
        <v>0</v>
      </c>
      <c r="G448" s="3"/>
      <c r="H448" s="3"/>
      <c r="I448" s="3"/>
      <c r="J448" s="3"/>
      <c r="K448" s="3"/>
      <c r="L448" s="3"/>
      <c r="M448" s="3"/>
      <c r="N448" s="3"/>
      <c r="O448" s="122"/>
      <c r="P448" s="37"/>
    </row>
    <row r="449" spans="1:16" ht="15" hidden="1">
      <c r="A449" s="85"/>
      <c r="B449" s="99"/>
      <c r="C449" s="85"/>
      <c r="D449" s="1" t="s">
        <v>13</v>
      </c>
      <c r="E449" s="2">
        <f t="shared" si="182"/>
        <v>0</v>
      </c>
      <c r="F449" s="2">
        <f t="shared" si="183"/>
        <v>0</v>
      </c>
      <c r="G449" s="3"/>
      <c r="H449" s="3"/>
      <c r="I449" s="3"/>
      <c r="J449" s="3"/>
      <c r="K449" s="3"/>
      <c r="L449" s="3"/>
      <c r="M449" s="3"/>
      <c r="N449" s="3"/>
      <c r="O449" s="122"/>
      <c r="P449" s="4"/>
    </row>
    <row r="450" spans="1:16" ht="15" customHeight="1" hidden="1">
      <c r="A450" s="85"/>
      <c r="B450" s="99"/>
      <c r="C450" s="86"/>
      <c r="D450" s="1" t="s">
        <v>14</v>
      </c>
      <c r="E450" s="2">
        <f t="shared" si="182"/>
        <v>0</v>
      </c>
      <c r="F450" s="2">
        <f t="shared" si="183"/>
        <v>0</v>
      </c>
      <c r="G450" s="3"/>
      <c r="H450" s="3"/>
      <c r="I450" s="3"/>
      <c r="J450" s="3"/>
      <c r="K450" s="3"/>
      <c r="L450" s="3"/>
      <c r="M450" s="3"/>
      <c r="N450" s="3"/>
      <c r="O450" s="122"/>
      <c r="P450" s="4"/>
    </row>
    <row r="451" spans="1:16" ht="15" hidden="1">
      <c r="A451" s="85"/>
      <c r="B451" s="99"/>
      <c r="C451" s="97" t="s">
        <v>127</v>
      </c>
      <c r="D451" s="1" t="s">
        <v>15</v>
      </c>
      <c r="E451" s="2">
        <f t="shared" si="182"/>
        <v>0</v>
      </c>
      <c r="F451" s="2">
        <f t="shared" si="183"/>
        <v>0</v>
      </c>
      <c r="G451" s="3"/>
      <c r="H451" s="3"/>
      <c r="I451" s="3"/>
      <c r="J451" s="3"/>
      <c r="K451" s="3"/>
      <c r="L451" s="3"/>
      <c r="M451" s="3"/>
      <c r="N451" s="3"/>
      <c r="O451" s="122"/>
      <c r="P451" s="4"/>
    </row>
    <row r="452" spans="1:16" ht="15">
      <c r="A452" s="85"/>
      <c r="B452" s="99"/>
      <c r="C452" s="97"/>
      <c r="D452" s="1" t="s">
        <v>16</v>
      </c>
      <c r="E452" s="2">
        <f t="shared" si="182"/>
        <v>5000</v>
      </c>
      <c r="F452" s="2">
        <f t="shared" si="183"/>
        <v>5000</v>
      </c>
      <c r="G452" s="3">
        <v>0</v>
      </c>
      <c r="H452" s="3">
        <v>0</v>
      </c>
      <c r="I452" s="3">
        <v>5000</v>
      </c>
      <c r="J452" s="3">
        <f>I452</f>
        <v>5000</v>
      </c>
      <c r="K452" s="3">
        <v>0</v>
      </c>
      <c r="L452" s="3">
        <v>0</v>
      </c>
      <c r="M452" s="3">
        <v>0</v>
      </c>
      <c r="N452" s="3">
        <f>M452</f>
        <v>0</v>
      </c>
      <c r="O452" s="122"/>
      <c r="P452" s="4"/>
    </row>
    <row r="453" spans="1:16" ht="15">
      <c r="A453" s="85"/>
      <c r="B453" s="99"/>
      <c r="C453" s="97"/>
      <c r="D453" s="1" t="s">
        <v>17</v>
      </c>
      <c r="E453" s="2">
        <f t="shared" si="182"/>
        <v>5260</v>
      </c>
      <c r="F453" s="2">
        <f t="shared" si="183"/>
        <v>0</v>
      </c>
      <c r="G453" s="3">
        <v>260</v>
      </c>
      <c r="H453" s="3">
        <v>0</v>
      </c>
      <c r="I453" s="3">
        <v>5000</v>
      </c>
      <c r="J453" s="3">
        <v>0</v>
      </c>
      <c r="K453" s="3">
        <v>0</v>
      </c>
      <c r="L453" s="3">
        <v>0</v>
      </c>
      <c r="M453" s="3">
        <v>0</v>
      </c>
      <c r="N453" s="3">
        <v>0</v>
      </c>
      <c r="O453" s="122"/>
      <c r="P453" s="4"/>
    </row>
    <row r="454" spans="1:16" ht="15">
      <c r="A454" s="85"/>
      <c r="B454" s="99"/>
      <c r="C454" s="97"/>
      <c r="D454" s="1" t="s">
        <v>97</v>
      </c>
      <c r="E454" s="2">
        <f t="shared" si="182"/>
        <v>5260</v>
      </c>
      <c r="F454" s="2">
        <f t="shared" si="183"/>
        <v>0</v>
      </c>
      <c r="G454" s="3">
        <v>260</v>
      </c>
      <c r="H454" s="3">
        <v>0</v>
      </c>
      <c r="I454" s="3">
        <v>5000</v>
      </c>
      <c r="J454" s="3">
        <v>0</v>
      </c>
      <c r="K454" s="3">
        <v>0</v>
      </c>
      <c r="L454" s="3">
        <v>0</v>
      </c>
      <c r="M454" s="3">
        <v>0</v>
      </c>
      <c r="N454" s="3">
        <v>0</v>
      </c>
      <c r="O454" s="122"/>
      <c r="P454" s="4"/>
    </row>
    <row r="455" spans="1:16" ht="15">
      <c r="A455" s="85"/>
      <c r="B455" s="99"/>
      <c r="C455" s="97"/>
      <c r="D455" s="1" t="s">
        <v>98</v>
      </c>
      <c r="E455" s="2">
        <f t="shared" si="182"/>
        <v>5260</v>
      </c>
      <c r="F455" s="2">
        <f t="shared" si="183"/>
        <v>0</v>
      </c>
      <c r="G455" s="3">
        <v>260</v>
      </c>
      <c r="H455" s="3">
        <v>0</v>
      </c>
      <c r="I455" s="3">
        <v>5000</v>
      </c>
      <c r="J455" s="3">
        <v>0</v>
      </c>
      <c r="K455" s="3">
        <v>0</v>
      </c>
      <c r="L455" s="3">
        <v>0</v>
      </c>
      <c r="M455" s="3">
        <v>0</v>
      </c>
      <c r="N455" s="3">
        <v>0</v>
      </c>
      <c r="O455" s="122"/>
      <c r="P455" s="4"/>
    </row>
    <row r="456" spans="1:16" ht="15">
      <c r="A456" s="85"/>
      <c r="B456" s="99"/>
      <c r="C456" s="97"/>
      <c r="D456" s="1" t="s">
        <v>99</v>
      </c>
      <c r="E456" s="2">
        <f t="shared" si="182"/>
        <v>5260</v>
      </c>
      <c r="F456" s="2">
        <f t="shared" si="183"/>
        <v>0</v>
      </c>
      <c r="G456" s="3">
        <v>260</v>
      </c>
      <c r="H456" s="3">
        <v>0</v>
      </c>
      <c r="I456" s="3">
        <v>5000</v>
      </c>
      <c r="J456" s="3">
        <v>0</v>
      </c>
      <c r="K456" s="3">
        <v>0</v>
      </c>
      <c r="L456" s="3">
        <v>0</v>
      </c>
      <c r="M456" s="3">
        <v>0</v>
      </c>
      <c r="N456" s="3">
        <v>0</v>
      </c>
      <c r="O456" s="122"/>
      <c r="P456" s="4"/>
    </row>
    <row r="457" spans="1:16" ht="15">
      <c r="A457" s="85"/>
      <c r="B457" s="99"/>
      <c r="C457" s="97"/>
      <c r="D457" s="1" t="s">
        <v>100</v>
      </c>
      <c r="E457" s="2">
        <f t="shared" si="182"/>
        <v>5260</v>
      </c>
      <c r="F457" s="2">
        <f t="shared" si="183"/>
        <v>0</v>
      </c>
      <c r="G457" s="3">
        <v>260</v>
      </c>
      <c r="H457" s="3">
        <v>0</v>
      </c>
      <c r="I457" s="3">
        <v>5000</v>
      </c>
      <c r="J457" s="3">
        <v>0</v>
      </c>
      <c r="K457" s="3">
        <v>0</v>
      </c>
      <c r="L457" s="3">
        <v>0</v>
      </c>
      <c r="M457" s="3">
        <v>0</v>
      </c>
      <c r="N457" s="3">
        <v>0</v>
      </c>
      <c r="O457" s="122"/>
      <c r="P457" s="4"/>
    </row>
    <row r="458" spans="1:16" ht="15">
      <c r="A458" s="86"/>
      <c r="B458" s="100"/>
      <c r="C458" s="97"/>
      <c r="D458" s="1" t="s">
        <v>101</v>
      </c>
      <c r="E458" s="2">
        <f t="shared" si="182"/>
        <v>5260</v>
      </c>
      <c r="F458" s="2">
        <f t="shared" si="183"/>
        <v>0</v>
      </c>
      <c r="G458" s="3">
        <v>260</v>
      </c>
      <c r="H458" s="3">
        <v>0</v>
      </c>
      <c r="I458" s="3">
        <v>5000</v>
      </c>
      <c r="J458" s="3">
        <v>0</v>
      </c>
      <c r="K458" s="3">
        <v>0</v>
      </c>
      <c r="L458" s="3">
        <v>0</v>
      </c>
      <c r="M458" s="3">
        <v>0</v>
      </c>
      <c r="N458" s="3">
        <v>0</v>
      </c>
      <c r="O458" s="122"/>
      <c r="P458" s="4"/>
    </row>
    <row r="459" spans="1:16" ht="15">
      <c r="A459" s="91"/>
      <c r="B459" s="107" t="s">
        <v>48</v>
      </c>
      <c r="C459" s="84"/>
      <c r="D459" s="10" t="s">
        <v>11</v>
      </c>
      <c r="E459" s="2">
        <f>SUM(E460:E470)</f>
        <v>5733611.186</v>
      </c>
      <c r="F459" s="2">
        <f>SUM(F460:F470)</f>
        <v>3402899.1259999997</v>
      </c>
      <c r="G459" s="2">
        <f aca="true" t="shared" si="184" ref="G459:M459">SUM(G460:G470)</f>
        <v>3423585.5899999994</v>
      </c>
      <c r="H459" s="2">
        <f>SUM(H460:H470)</f>
        <v>2238218.23</v>
      </c>
      <c r="I459" s="2">
        <f t="shared" si="184"/>
        <v>45303.4</v>
      </c>
      <c r="J459" s="2">
        <f t="shared" si="184"/>
        <v>5645.6</v>
      </c>
      <c r="K459" s="2">
        <f t="shared" si="184"/>
        <v>1424182.896</v>
      </c>
      <c r="L459" s="2">
        <f>SUM(L460:L470)</f>
        <v>537732.096</v>
      </c>
      <c r="M459" s="2">
        <f t="shared" si="184"/>
        <v>840539.2999999998</v>
      </c>
      <c r="N459" s="2">
        <f>SUM(N460:N470)</f>
        <v>621303.2</v>
      </c>
      <c r="O459" s="11"/>
      <c r="P459" s="4"/>
    </row>
    <row r="460" spans="1:16" s="12" customFormat="1" ht="15">
      <c r="A460" s="91"/>
      <c r="B460" s="107"/>
      <c r="C460" s="85"/>
      <c r="D460" s="10" t="s">
        <v>12</v>
      </c>
      <c r="E460" s="2">
        <f>G460+I460+K460+M460</f>
        <v>423497.10000000003</v>
      </c>
      <c r="F460" s="2">
        <f>H460+J460+L460+N460</f>
        <v>369330.50000000006</v>
      </c>
      <c r="G460" s="2">
        <f>G56+G118+G161+G249</f>
        <v>287073</v>
      </c>
      <c r="H460" s="2">
        <f aca="true" t="shared" si="185" ref="H460:N460">H56+H118+H161+H249</f>
        <v>242825.40000000002</v>
      </c>
      <c r="I460" s="2">
        <f t="shared" si="185"/>
        <v>3225</v>
      </c>
      <c r="J460" s="2">
        <f t="shared" si="185"/>
        <v>0</v>
      </c>
      <c r="K460" s="2">
        <f t="shared" si="185"/>
        <v>69836.9</v>
      </c>
      <c r="L460" s="2">
        <f t="shared" si="185"/>
        <v>63142.9</v>
      </c>
      <c r="M460" s="2">
        <f t="shared" si="185"/>
        <v>63362.2</v>
      </c>
      <c r="N460" s="2">
        <f t="shared" si="185"/>
        <v>63362.2</v>
      </c>
      <c r="O460" s="11"/>
      <c r="P460" s="4"/>
    </row>
    <row r="461" spans="1:16" s="12" customFormat="1" ht="15">
      <c r="A461" s="91"/>
      <c r="B461" s="107"/>
      <c r="C461" s="85"/>
      <c r="D461" s="10" t="s">
        <v>13</v>
      </c>
      <c r="E461" s="2">
        <f aca="true" t="shared" si="186" ref="E461:F464">G461+I461+K461+M461</f>
        <v>415534.89</v>
      </c>
      <c r="F461" s="2">
        <f t="shared" si="186"/>
        <v>393154.04000000004</v>
      </c>
      <c r="G461" s="2">
        <f aca="true" t="shared" si="187" ref="G461:I462">G57+G119+G162+G250</f>
        <v>268270.99</v>
      </c>
      <c r="H461" s="2">
        <f t="shared" si="187"/>
        <v>255911.14</v>
      </c>
      <c r="I461" s="2">
        <f t="shared" si="187"/>
        <v>3297.5</v>
      </c>
      <c r="J461" s="2">
        <v>0</v>
      </c>
      <c r="K461" s="2">
        <f aca="true" t="shared" si="188" ref="K461:N462">K57+K119+K162+K250</f>
        <v>68949.3</v>
      </c>
      <c r="L461" s="2">
        <f t="shared" si="188"/>
        <v>62225.8</v>
      </c>
      <c r="M461" s="2">
        <f t="shared" si="188"/>
        <v>75017.1</v>
      </c>
      <c r="N461" s="2">
        <f t="shared" si="188"/>
        <v>75017.1</v>
      </c>
      <c r="O461" s="11"/>
      <c r="P461" s="4"/>
    </row>
    <row r="462" spans="1:16" s="12" customFormat="1" ht="15">
      <c r="A462" s="91"/>
      <c r="B462" s="107"/>
      <c r="C462" s="85"/>
      <c r="D462" s="10" t="s">
        <v>14</v>
      </c>
      <c r="E462" s="2">
        <f t="shared" si="186"/>
        <v>476059.0959999999</v>
      </c>
      <c r="F462" s="2">
        <f t="shared" si="186"/>
        <v>458652.696</v>
      </c>
      <c r="G462" s="2">
        <f t="shared" si="187"/>
        <v>277844.1</v>
      </c>
      <c r="H462" s="2">
        <f t="shared" si="187"/>
        <v>267597.4</v>
      </c>
      <c r="I462" s="2">
        <f t="shared" si="187"/>
        <v>3135.3</v>
      </c>
      <c r="J462" s="2">
        <f>J58+J120+J163+J251</f>
        <v>0</v>
      </c>
      <c r="K462" s="2">
        <f t="shared" si="188"/>
        <v>112958.09599999999</v>
      </c>
      <c r="L462" s="2">
        <f t="shared" si="188"/>
        <v>108933.69599999998</v>
      </c>
      <c r="M462" s="2">
        <f t="shared" si="188"/>
        <v>82121.6</v>
      </c>
      <c r="N462" s="2">
        <f t="shared" si="188"/>
        <v>82121.6</v>
      </c>
      <c r="O462" s="11"/>
      <c r="P462" s="4"/>
    </row>
    <row r="463" spans="1:16" s="12" customFormat="1" ht="15">
      <c r="A463" s="91"/>
      <c r="B463" s="107"/>
      <c r="C463" s="85"/>
      <c r="D463" s="10" t="s">
        <v>15</v>
      </c>
      <c r="E463" s="2">
        <f t="shared" si="186"/>
        <v>533092.2000000001</v>
      </c>
      <c r="F463" s="2">
        <f t="shared" si="186"/>
        <v>517689.5</v>
      </c>
      <c r="G463" s="2">
        <f aca="true" t="shared" si="189" ref="G463:N463">G59+G121+G164+G252+G404</f>
        <v>301455.4</v>
      </c>
      <c r="H463" s="2">
        <f t="shared" si="189"/>
        <v>286052.7</v>
      </c>
      <c r="I463" s="2">
        <f t="shared" si="189"/>
        <v>645.6</v>
      </c>
      <c r="J463" s="2">
        <f t="shared" si="189"/>
        <v>645.6</v>
      </c>
      <c r="K463" s="2">
        <f t="shared" si="189"/>
        <v>145737.90000000002</v>
      </c>
      <c r="L463" s="2">
        <f t="shared" si="189"/>
        <v>145737.90000000002</v>
      </c>
      <c r="M463" s="2">
        <f t="shared" si="189"/>
        <v>85253.3</v>
      </c>
      <c r="N463" s="2">
        <f t="shared" si="189"/>
        <v>85253.3</v>
      </c>
      <c r="O463" s="11"/>
      <c r="P463" s="4"/>
    </row>
    <row r="464" spans="1:25" s="12" customFormat="1" ht="15">
      <c r="A464" s="91"/>
      <c r="B464" s="107"/>
      <c r="C464" s="85"/>
      <c r="D464" s="10" t="s">
        <v>16</v>
      </c>
      <c r="E464" s="2">
        <f t="shared" si="186"/>
        <v>548956</v>
      </c>
      <c r="F464" s="2">
        <f>H464+J464+L464+N464</f>
        <v>535926.3999999999</v>
      </c>
      <c r="G464" s="2">
        <f>G60+G122+G165+G253+G405+G440</f>
        <v>308889.3</v>
      </c>
      <c r="H464" s="2">
        <f aca="true" t="shared" si="190" ref="H464:N464">H60+H122+H165+H253+H405+H440</f>
        <v>300567.6</v>
      </c>
      <c r="I464" s="2">
        <f t="shared" si="190"/>
        <v>5000</v>
      </c>
      <c r="J464" s="2">
        <f>J60+J122+J165+J253+J405+J440</f>
        <v>5000</v>
      </c>
      <c r="K464" s="2">
        <f t="shared" si="190"/>
        <v>147145.7</v>
      </c>
      <c r="L464" s="2">
        <f t="shared" si="190"/>
        <v>142437.8</v>
      </c>
      <c r="M464" s="2">
        <f t="shared" si="190"/>
        <v>87921</v>
      </c>
      <c r="N464" s="2">
        <f t="shared" si="190"/>
        <v>87921</v>
      </c>
      <c r="O464" s="11"/>
      <c r="P464" s="4"/>
      <c r="Q464" s="60">
        <f>F464/E464*100</f>
        <v>97.62647643891313</v>
      </c>
      <c r="W464" s="50">
        <f>F464/E464*100</f>
        <v>97.62647643891313</v>
      </c>
      <c r="X464" s="50">
        <f aca="true" t="shared" si="191" ref="X464:X470">100-W464</f>
        <v>2.37352356108687</v>
      </c>
      <c r="Y464" s="51">
        <f aca="true" t="shared" si="192" ref="Y464:Y470">90-X464</f>
        <v>87.62647643891313</v>
      </c>
    </row>
    <row r="465" spans="1:25" s="60" customFormat="1" ht="15">
      <c r="A465" s="91"/>
      <c r="B465" s="107"/>
      <c r="C465" s="85"/>
      <c r="D465" s="57" t="s">
        <v>17</v>
      </c>
      <c r="E465" s="58">
        <f aca="true" t="shared" si="193" ref="E465:F470">G465+I465+K465+M465</f>
        <v>563071.9</v>
      </c>
      <c r="F465" s="58">
        <f t="shared" si="193"/>
        <v>386435.18999999994</v>
      </c>
      <c r="G465" s="58">
        <f aca="true" t="shared" si="194" ref="G465:N465">G61+G123+G166+G254+G406+G441</f>
        <v>330008.8</v>
      </c>
      <c r="H465" s="58">
        <f t="shared" si="194"/>
        <v>297337.58999999997</v>
      </c>
      <c r="I465" s="58">
        <f t="shared" si="194"/>
        <v>5000</v>
      </c>
      <c r="J465" s="58">
        <f t="shared" si="194"/>
        <v>0</v>
      </c>
      <c r="K465" s="58">
        <f t="shared" si="194"/>
        <v>146592.5</v>
      </c>
      <c r="L465" s="58">
        <f t="shared" si="194"/>
        <v>7627</v>
      </c>
      <c r="M465" s="58">
        <f t="shared" si="194"/>
        <v>81470.6</v>
      </c>
      <c r="N465" s="58">
        <f t="shared" si="194"/>
        <v>81470.6</v>
      </c>
      <c r="O465" s="67"/>
      <c r="P465" s="59"/>
      <c r="Q465" s="60">
        <f>F465/E465*100</f>
        <v>68.62981264026848</v>
      </c>
      <c r="W465" s="68">
        <f aca="true" t="shared" si="195" ref="W465:W470">F465/E465*100</f>
        <v>68.62981264026848</v>
      </c>
      <c r="X465" s="68">
        <f t="shared" si="191"/>
        <v>31.370187359731517</v>
      </c>
      <c r="Y465" s="69">
        <f t="shared" si="192"/>
        <v>58.62981264026848</v>
      </c>
    </row>
    <row r="466" spans="1:25" s="60" customFormat="1" ht="15">
      <c r="A466" s="91"/>
      <c r="B466" s="107"/>
      <c r="C466" s="85"/>
      <c r="D466" s="57" t="s">
        <v>97</v>
      </c>
      <c r="E466" s="58">
        <f t="shared" si="193"/>
        <v>554680</v>
      </c>
      <c r="F466" s="58">
        <f t="shared" si="193"/>
        <v>374668.9</v>
      </c>
      <c r="G466" s="58">
        <f aca="true" t="shared" si="196" ref="G466:N466">G62+G124+G167+G255+G407+G442</f>
        <v>330008.8</v>
      </c>
      <c r="H466" s="58">
        <f t="shared" si="196"/>
        <v>293963.2</v>
      </c>
      <c r="I466" s="58">
        <f t="shared" si="196"/>
        <v>5000</v>
      </c>
      <c r="J466" s="58">
        <f t="shared" si="196"/>
        <v>0</v>
      </c>
      <c r="K466" s="58">
        <f t="shared" si="196"/>
        <v>146592.5</v>
      </c>
      <c r="L466" s="58">
        <f t="shared" si="196"/>
        <v>7627</v>
      </c>
      <c r="M466" s="58">
        <f t="shared" si="196"/>
        <v>73078.7</v>
      </c>
      <c r="N466" s="58">
        <f t="shared" si="196"/>
        <v>73078.7</v>
      </c>
      <c r="O466" s="67"/>
      <c r="P466" s="59"/>
      <c r="Q466" s="60">
        <f>F466/E466*100</f>
        <v>67.54685584481143</v>
      </c>
      <c r="W466" s="68">
        <f t="shared" si="195"/>
        <v>67.54685584481143</v>
      </c>
      <c r="X466" s="68">
        <f t="shared" si="191"/>
        <v>32.45314415518857</v>
      </c>
      <c r="Y466" s="69">
        <f t="shared" si="192"/>
        <v>57.54685584481143</v>
      </c>
    </row>
    <row r="467" spans="1:25" s="60" customFormat="1" ht="15">
      <c r="A467" s="91"/>
      <c r="B467" s="107"/>
      <c r="C467" s="85"/>
      <c r="D467" s="57" t="s">
        <v>98</v>
      </c>
      <c r="E467" s="58">
        <f t="shared" si="193"/>
        <v>554680</v>
      </c>
      <c r="F467" s="58">
        <f t="shared" si="193"/>
        <v>367041.9</v>
      </c>
      <c r="G467" s="58">
        <f aca="true" t="shared" si="197" ref="G467:N467">G63+G125+G168+G256+G408+G443</f>
        <v>330008.8</v>
      </c>
      <c r="H467" s="58">
        <f t="shared" si="197"/>
        <v>293963.2</v>
      </c>
      <c r="I467" s="58">
        <f t="shared" si="197"/>
        <v>5000</v>
      </c>
      <c r="J467" s="58">
        <f t="shared" si="197"/>
        <v>0</v>
      </c>
      <c r="K467" s="58">
        <f t="shared" si="197"/>
        <v>146592.5</v>
      </c>
      <c r="L467" s="58">
        <f t="shared" si="197"/>
        <v>0</v>
      </c>
      <c r="M467" s="58">
        <f t="shared" si="197"/>
        <v>73078.7</v>
      </c>
      <c r="N467" s="58">
        <f t="shared" si="197"/>
        <v>73078.7</v>
      </c>
      <c r="O467" s="67"/>
      <c r="P467" s="59"/>
      <c r="Q467" s="60">
        <f>F467/E467*100</f>
        <v>66.17182880219225</v>
      </c>
      <c r="W467" s="68">
        <f t="shared" si="195"/>
        <v>66.17182880219225</v>
      </c>
      <c r="X467" s="68">
        <f t="shared" si="191"/>
        <v>33.82817119780775</v>
      </c>
      <c r="Y467" s="69">
        <f t="shared" si="192"/>
        <v>56.17182880219225</v>
      </c>
    </row>
    <row r="468" spans="1:25" s="12" customFormat="1" ht="15">
      <c r="A468" s="91"/>
      <c r="B468" s="107"/>
      <c r="C468" s="85"/>
      <c r="D468" s="10" t="s">
        <v>99</v>
      </c>
      <c r="E468" s="2">
        <f t="shared" si="193"/>
        <v>554680</v>
      </c>
      <c r="F468" s="2">
        <f t="shared" si="193"/>
        <v>0</v>
      </c>
      <c r="G468" s="2">
        <f aca="true" t="shared" si="198" ref="G468:N468">G64+G126+G169+G257+G409+G444</f>
        <v>330008.8</v>
      </c>
      <c r="H468" s="2">
        <f t="shared" si="198"/>
        <v>0</v>
      </c>
      <c r="I468" s="2">
        <f t="shared" si="198"/>
        <v>5000</v>
      </c>
      <c r="J468" s="2">
        <f t="shared" si="198"/>
        <v>0</v>
      </c>
      <c r="K468" s="2">
        <f t="shared" si="198"/>
        <v>146592.5</v>
      </c>
      <c r="L468" s="2">
        <f t="shared" si="198"/>
        <v>0</v>
      </c>
      <c r="M468" s="2">
        <f t="shared" si="198"/>
        <v>73078.7</v>
      </c>
      <c r="N468" s="2">
        <f t="shared" si="198"/>
        <v>0</v>
      </c>
      <c r="O468" s="11"/>
      <c r="P468" s="4"/>
      <c r="W468" s="52">
        <f t="shared" si="195"/>
        <v>0</v>
      </c>
      <c r="X468" s="50">
        <f t="shared" si="191"/>
        <v>100</v>
      </c>
      <c r="Y468" s="51">
        <f t="shared" si="192"/>
        <v>-10</v>
      </c>
    </row>
    <row r="469" spans="1:25" s="12" customFormat="1" ht="15">
      <c r="A469" s="91"/>
      <c r="B469" s="107"/>
      <c r="C469" s="85"/>
      <c r="D469" s="10" t="s">
        <v>100</v>
      </c>
      <c r="E469" s="2">
        <f t="shared" si="193"/>
        <v>554680</v>
      </c>
      <c r="F469" s="2">
        <f t="shared" si="193"/>
        <v>0</v>
      </c>
      <c r="G469" s="2">
        <f aca="true" t="shared" si="199" ref="G469:N469">G65+G127+G170+G258+G410+G445</f>
        <v>330008.8</v>
      </c>
      <c r="H469" s="2">
        <f t="shared" si="199"/>
        <v>0</v>
      </c>
      <c r="I469" s="2">
        <f t="shared" si="199"/>
        <v>5000</v>
      </c>
      <c r="J469" s="2">
        <f t="shared" si="199"/>
        <v>0</v>
      </c>
      <c r="K469" s="2">
        <f t="shared" si="199"/>
        <v>146592.5</v>
      </c>
      <c r="L469" s="2">
        <f t="shared" si="199"/>
        <v>0</v>
      </c>
      <c r="M469" s="2">
        <f t="shared" si="199"/>
        <v>73078.7</v>
      </c>
      <c r="N469" s="2">
        <f t="shared" si="199"/>
        <v>0</v>
      </c>
      <c r="O469" s="11"/>
      <c r="P469" s="4"/>
      <c r="W469" s="52">
        <f t="shared" si="195"/>
        <v>0</v>
      </c>
      <c r="X469" s="50">
        <f t="shared" si="191"/>
        <v>100</v>
      </c>
      <c r="Y469" s="51">
        <f t="shared" si="192"/>
        <v>-10</v>
      </c>
    </row>
    <row r="470" spans="1:25" s="12" customFormat="1" ht="15">
      <c r="A470" s="91"/>
      <c r="B470" s="107"/>
      <c r="C470" s="86"/>
      <c r="D470" s="10" t="s">
        <v>101</v>
      </c>
      <c r="E470" s="2">
        <f t="shared" si="193"/>
        <v>554680</v>
      </c>
      <c r="F470" s="2">
        <f t="shared" si="193"/>
        <v>0</v>
      </c>
      <c r="G470" s="2">
        <f aca="true" t="shared" si="200" ref="G470:N470">G66+G128+G171+G259+G411+G446</f>
        <v>330008.8</v>
      </c>
      <c r="H470" s="2">
        <f t="shared" si="200"/>
        <v>0</v>
      </c>
      <c r="I470" s="2">
        <f t="shared" si="200"/>
        <v>5000</v>
      </c>
      <c r="J470" s="2">
        <f t="shared" si="200"/>
        <v>0</v>
      </c>
      <c r="K470" s="2">
        <f t="shared" si="200"/>
        <v>146592.5</v>
      </c>
      <c r="L470" s="2">
        <f t="shared" si="200"/>
        <v>0</v>
      </c>
      <c r="M470" s="2">
        <f t="shared" si="200"/>
        <v>73078.7</v>
      </c>
      <c r="N470" s="2">
        <f t="shared" si="200"/>
        <v>0</v>
      </c>
      <c r="O470" s="22"/>
      <c r="P470" s="4"/>
      <c r="W470" s="52">
        <f t="shared" si="195"/>
        <v>0</v>
      </c>
      <c r="X470" s="50">
        <f t="shared" si="191"/>
        <v>100</v>
      </c>
      <c r="Y470" s="51">
        <f t="shared" si="192"/>
        <v>-10</v>
      </c>
    </row>
    <row r="471" ht="15">
      <c r="G471" s="24"/>
    </row>
    <row r="472" spans="7:9" ht="15">
      <c r="G472" s="45"/>
      <c r="H472" s="42"/>
      <c r="I472" s="42"/>
    </row>
    <row r="473" spans="5:7" ht="15">
      <c r="E473" s="53"/>
      <c r="F473" s="53"/>
      <c r="G473" s="45"/>
    </row>
    <row r="474" ht="15">
      <c r="G474" s="45"/>
    </row>
  </sheetData>
  <sheetProtection/>
  <mergeCells count="159">
    <mergeCell ref="B436:B446"/>
    <mergeCell ref="C437:C446"/>
    <mergeCell ref="A447:A458"/>
    <mergeCell ref="B447:B458"/>
    <mergeCell ref="C447:C450"/>
    <mergeCell ref="A352:A363"/>
    <mergeCell ref="A364:A375"/>
    <mergeCell ref="C392:C399"/>
    <mergeCell ref="C418:C420"/>
    <mergeCell ref="O447:O458"/>
    <mergeCell ref="C451:C458"/>
    <mergeCell ref="C368:C375"/>
    <mergeCell ref="B352:B363"/>
    <mergeCell ref="C352:C355"/>
    <mergeCell ref="O428:O434"/>
    <mergeCell ref="B364:B375"/>
    <mergeCell ref="C428:C431"/>
    <mergeCell ref="O421:O427"/>
    <mergeCell ref="O352:O363"/>
    <mergeCell ref="A376:A387"/>
    <mergeCell ref="A388:A399"/>
    <mergeCell ref="B421:B427"/>
    <mergeCell ref="C421:C424"/>
    <mergeCell ref="C425:C427"/>
    <mergeCell ref="B376:B387"/>
    <mergeCell ref="C376:C379"/>
    <mergeCell ref="B407:B413"/>
    <mergeCell ref="B388:B399"/>
    <mergeCell ref="B401:B406"/>
    <mergeCell ref="E217:N221"/>
    <mergeCell ref="O388:O399"/>
    <mergeCell ref="O376:O387"/>
    <mergeCell ref="C414:C417"/>
    <mergeCell ref="O414:O420"/>
    <mergeCell ref="C411:C413"/>
    <mergeCell ref="C407:C410"/>
    <mergeCell ref="O248:O351"/>
    <mergeCell ref="O407:O413"/>
    <mergeCell ref="E224:N228"/>
    <mergeCell ref="C274:C283"/>
    <mergeCell ref="C342:C351"/>
    <mergeCell ref="E286:N290"/>
    <mergeCell ref="E293:N297"/>
    <mergeCell ref="E314:N318"/>
    <mergeCell ref="E321:N325"/>
    <mergeCell ref="O400:O406"/>
    <mergeCell ref="O160:O247"/>
    <mergeCell ref="C175:C183"/>
    <mergeCell ref="E335:N339"/>
    <mergeCell ref="C198:C200"/>
    <mergeCell ref="E210:N214"/>
    <mergeCell ref="C222:C224"/>
    <mergeCell ref="C215:C217"/>
    <mergeCell ref="O364:O375"/>
    <mergeCell ref="C238:C247"/>
    <mergeCell ref="A459:A470"/>
    <mergeCell ref="A160:A247"/>
    <mergeCell ref="B428:B434"/>
    <mergeCell ref="B414:B420"/>
    <mergeCell ref="B272:B283"/>
    <mergeCell ref="B229:B235"/>
    <mergeCell ref="B459:B470"/>
    <mergeCell ref="B312:B318"/>
    <mergeCell ref="A248:A351"/>
    <mergeCell ref="A401:A434"/>
    <mergeCell ref="B148:B159"/>
    <mergeCell ref="B215:B221"/>
    <mergeCell ref="B222:B228"/>
    <mergeCell ref="B172:B183"/>
    <mergeCell ref="B161:B171"/>
    <mergeCell ref="B249:B259"/>
    <mergeCell ref="B196:B207"/>
    <mergeCell ref="B184:B195"/>
    <mergeCell ref="B236:B247"/>
    <mergeCell ref="B208:B214"/>
    <mergeCell ref="A1:O1"/>
    <mergeCell ref="A2:O2"/>
    <mergeCell ref="L3:O6"/>
    <mergeCell ref="C162:C171"/>
    <mergeCell ref="A19:A30"/>
    <mergeCell ref="C95:C104"/>
    <mergeCell ref="A31:A42"/>
    <mergeCell ref="B31:B42"/>
    <mergeCell ref="B105:B116"/>
    <mergeCell ref="A55:A116"/>
    <mergeCell ref="A8:O8"/>
    <mergeCell ref="B19:B30"/>
    <mergeCell ref="C107:C116"/>
    <mergeCell ref="B129:B140"/>
    <mergeCell ref="B93:B104"/>
    <mergeCell ref="A16:O16"/>
    <mergeCell ref="A43:A54"/>
    <mergeCell ref="B43:B54"/>
    <mergeCell ref="O43:O54"/>
    <mergeCell ref="A12:A14"/>
    <mergeCell ref="D12:D14"/>
    <mergeCell ref="E81:N85"/>
    <mergeCell ref="E12:F13"/>
    <mergeCell ref="C70:C78"/>
    <mergeCell ref="A18:O18"/>
    <mergeCell ref="B56:B66"/>
    <mergeCell ref="O19:O30"/>
    <mergeCell ref="O31:O42"/>
    <mergeCell ref="C21:C30"/>
    <mergeCell ref="C45:C54"/>
    <mergeCell ref="A117:A147"/>
    <mergeCell ref="B141:B147"/>
    <mergeCell ref="B67:B78"/>
    <mergeCell ref="B79:B85"/>
    <mergeCell ref="B86:B92"/>
    <mergeCell ref="B12:B14"/>
    <mergeCell ref="C459:C470"/>
    <mergeCell ref="C333:C335"/>
    <mergeCell ref="C326:C328"/>
    <mergeCell ref="C319:C321"/>
    <mergeCell ref="C380:C387"/>
    <mergeCell ref="C388:C391"/>
    <mergeCell ref="C356:C363"/>
    <mergeCell ref="C364:C367"/>
    <mergeCell ref="B260:B271"/>
    <mergeCell ref="B319:B325"/>
    <mergeCell ref="B284:B290"/>
    <mergeCell ref="C432:C434"/>
    <mergeCell ref="C312:C314"/>
    <mergeCell ref="C404:C406"/>
    <mergeCell ref="B298:B304"/>
    <mergeCell ref="C291:C293"/>
    <mergeCell ref="C284:C286"/>
    <mergeCell ref="B326:B332"/>
    <mergeCell ref="B305:B311"/>
    <mergeCell ref="O12:O13"/>
    <mergeCell ref="G13:H13"/>
    <mergeCell ref="I13:J13"/>
    <mergeCell ref="K13:L13"/>
    <mergeCell ref="M13:N13"/>
    <mergeCell ref="C208:C210"/>
    <mergeCell ref="G12:N12"/>
    <mergeCell ref="A17:O17"/>
    <mergeCell ref="C12:C14"/>
    <mergeCell ref="C33:C42"/>
    <mergeCell ref="O55:O116"/>
    <mergeCell ref="B118:B128"/>
    <mergeCell ref="A436:A446"/>
    <mergeCell ref="E201:N201"/>
    <mergeCell ref="B340:B351"/>
    <mergeCell ref="C57:C66"/>
    <mergeCell ref="C186:C195"/>
    <mergeCell ref="B333:B339"/>
    <mergeCell ref="B291:B297"/>
    <mergeCell ref="C79:C81"/>
    <mergeCell ref="O117:O147"/>
    <mergeCell ref="E143:N147"/>
    <mergeCell ref="E328:N332"/>
    <mergeCell ref="C119:C128"/>
    <mergeCell ref="C132:C140"/>
    <mergeCell ref="C148:C159"/>
    <mergeCell ref="C141:C143"/>
    <mergeCell ref="C250:C259"/>
    <mergeCell ref="C263:C271"/>
  </mergeCells>
  <printOptions/>
  <pageMargins left="0.15748031496062992" right="0.15748031496062992" top="0.1968503937007874" bottom="0.1968503937007874" header="0.31496062992125984" footer="0.31496062992125984"/>
  <pageSetup horizontalDpi="600" verticalDpi="600" orientation="landscape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Володина Лидия Михайловна</dc:creator>
  <cp:keywords/>
  <dc:description/>
  <cp:lastModifiedBy>Витковская Светлана Михайловна</cp:lastModifiedBy>
  <cp:lastPrinted>2020-01-09T08:25:41Z</cp:lastPrinted>
  <dcterms:created xsi:type="dcterms:W3CDTF">2014-06-24T05:35:40Z</dcterms:created>
  <dcterms:modified xsi:type="dcterms:W3CDTF">2020-02-14T07:14:59Z</dcterms:modified>
  <cp:category/>
  <cp:version/>
  <cp:contentType/>
  <cp:contentStatus/>
</cp:coreProperties>
</file>