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стоим'!$A$8:$Y$311</definedName>
    <definedName name="_xlnm.Print_Titles" localSheetId="0">'сметная стоим'!$3:$8</definedName>
    <definedName name="_xlnm.Print_Area" localSheetId="0">'сметная стоим'!$A$1:$AE$311</definedName>
  </definedNames>
  <calcPr fullCalcOnLoad="1"/>
</workbook>
</file>

<file path=xl/sharedStrings.xml><?xml version="1.0" encoding="utf-8"?>
<sst xmlns="http://schemas.openxmlformats.org/spreadsheetml/2006/main" count="1195" uniqueCount="316">
  <si>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</si>
  <si>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</si>
  <si>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</si>
  <si>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</si>
  <si>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</si>
  <si>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</si>
  <si>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</si>
  <si>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</si>
  <si>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</si>
  <si>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</si>
  <si>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</si>
  <si>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</si>
  <si>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</si>
  <si>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</si>
  <si>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</si>
  <si>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</si>
  <si>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</si>
  <si>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</si>
  <si>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</si>
  <si>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</si>
  <si>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</si>
  <si>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</si>
  <si>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</si>
  <si>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</si>
  <si>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</si>
  <si>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</si>
  <si>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</si>
  <si>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</si>
  <si>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</si>
  <si>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</si>
  <si>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</si>
  <si>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</si>
  <si>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</si>
  <si>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- г. Томск, ул. Свердлова, 4, 5, 6, 6/1, 7 (решение судов)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</si>
  <si>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</si>
  <si>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</si>
  <si>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</si>
  <si>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</si>
  <si>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</si>
  <si>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</si>
  <si>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</si>
  <si>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</si>
  <si>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</si>
  <si>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</si>
  <si>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</si>
  <si>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</si>
  <si>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</si>
  <si>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</si>
  <si>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</si>
  <si>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</si>
  <si>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</si>
  <si>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</si>
  <si>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</si>
  <si>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</si>
  <si>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</si>
  <si>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</si>
  <si>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</si>
  <si>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</si>
  <si>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</si>
  <si>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</si>
  <si>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</si>
  <si>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</si>
  <si>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</si>
  <si>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</si>
  <si>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</si>
  <si>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</si>
  <si>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</si>
  <si>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</si>
  <si>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</si>
  <si>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</si>
  <si>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</si>
  <si>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</si>
  <si>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</si>
  <si>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</si>
  <si>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</si>
  <si>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</si>
  <si>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</si>
  <si>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</si>
  <si>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</si>
  <si>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</si>
  <si>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</si>
  <si>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</si>
  <si>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</si>
  <si>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</si>
  <si>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</si>
  <si>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</si>
  <si>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22</t>
  </si>
  <si>
    <t>проведение экспертизы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</si>
  <si>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</si>
  <si>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</si>
  <si>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</si>
  <si>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</si>
  <si>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</si>
  <si>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</si>
  <si>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</si>
  <si>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</si>
  <si>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</si>
  <si>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</si>
  <si>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</si>
  <si>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</si>
  <si>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</si>
  <si>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</si>
  <si>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</si>
  <si>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</si>
  <si>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</si>
  <si>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</si>
  <si>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</si>
  <si>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</si>
  <si>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</si>
  <si>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</si>
  <si>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</si>
  <si>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</si>
  <si>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</si>
  <si>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</si>
  <si>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</si>
  <si>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</si>
  <si>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</si>
  <si>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</si>
  <si>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</si>
  <si>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</si>
  <si>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</si>
  <si>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</si>
  <si>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</si>
  <si>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</si>
  <si>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</si>
  <si>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</si>
  <si>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</si>
  <si>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</si>
  <si>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2020</t>
  </si>
  <si>
    <t>32</t>
  </si>
  <si>
    <t>33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</si>
  <si>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</si>
  <si>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 xml:space="preserve"> технологическое присоединение энергопринимающих устройств</t>
  </si>
  <si>
    <t>2021 год</t>
  </si>
  <si>
    <t>2022 год</t>
  </si>
  <si>
    <t>2023 год</t>
  </si>
  <si>
    <t>2024 год</t>
  </si>
  <si>
    <t>2025 год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</si>
  <si>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</si>
  <si>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</si>
  <si>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</si>
  <si>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>Технологическое присоединение к сетям водоснабжения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</si>
  <si>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</t>
  </si>
  <si>
    <t xml:space="preserve">с. Дзержинское                                                                                ул.Малая Больничная, пер.Дзержинский       </t>
  </si>
  <si>
    <t>0,52
1,095</t>
  </si>
  <si>
    <t>ул. Севастопольская, 11, 15, 17, 19, пер. Добролюбова, 20-49</t>
  </si>
  <si>
    <t>2022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</si>
  <si>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</si>
  <si>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2023</t>
  </si>
  <si>
    <t>Строительство сетей водоснабжения в районе п. Светлый (мкр. Народный, мкр. Реженка, ж.д. ст. Копылово)</t>
  </si>
  <si>
    <t>тех. присоединение</t>
  </si>
  <si>
    <t>2021</t>
  </si>
  <si>
    <t>2024</t>
  </si>
  <si>
    <t>2025</t>
  </si>
  <si>
    <t>ул. Ленинградская,  пер. Ставропольский, ул. Томская, ул.Центральная, пер.Шегарский, ул.Усть-Керепеть</t>
  </si>
  <si>
    <t>Строительство водовода 9а в г.Томске, втом числе приобритение проектной документации</t>
  </si>
  <si>
    <t>Строительство локальных очистных сооружений по ул.Логовая, ул.Фабричная в с.Дзержинское</t>
  </si>
  <si>
    <t>2 шт.</t>
  </si>
  <si>
    <t>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</si>
  <si>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</si>
  <si>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</si>
  <si>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</si>
  <si>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Строительство ливневого коллектора по пер. Школьному</t>
  </si>
  <si>
    <t>Инженерная защита от подтоплений территории "Татарская слобода"</t>
  </si>
  <si>
    <t>Реконструкция дренажа по пер. Красноармейскому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</si>
  <si>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</si>
  <si>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</si>
  <si>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Реконструкция дренажной системы мкр. Черемошники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</si>
  <si>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</si>
  <si>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</si>
  <si>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</si>
  <si>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</si>
  <si>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Строительство ливневого коллектора по ул. Ломоносова от ул. Калужской до ул. Энергетиков</t>
  </si>
  <si>
    <t>Строительство сетей ливневой канализации по ул. Технической, пер. Ближнему в г. Томске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</si>
  <si>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</si>
  <si>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</si>
  <si>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Строительство локального источника - газовой котельной установленной мощностью 0,2МВт по адресу: пос. Спутник, 44/1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</si>
  <si>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</si>
  <si>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</si>
  <si>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</si>
  <si>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</si>
  <si>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</si>
  <si>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</si>
  <si>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Переподключение жилых домов, запитанных от котельной по ул. Водяная, 80 на сети центрального теплоснабжения</t>
  </si>
  <si>
    <t>Переключение жилых домов,  от котельной ЗАО "Красная Звезда" на сети центрального теплоснабжения</t>
  </si>
  <si>
    <t>технологическое присоединение</t>
  </si>
  <si>
    <t>Организация теплоснабжения жилых домов блочного типа по ул. Новая в ж.д. станция Копылова</t>
  </si>
  <si>
    <t>Реконструкция тепловых сетей, расположеннных по пр. Комсомольский, 39т в г. Томске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</si>
  <si>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</si>
  <si>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</si>
  <si>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</si>
  <si>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t>Сметная стоимость объекта капитального строительства, тыс. руб. *</t>
  </si>
  <si>
    <t xml:space="preserve">* Включает в себя все виды бюджетных инвестиций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</si>
  <si>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</si>
  <si>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</si>
  <si>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ул. Шпальная, ул. Строевая, пер. Строительный, пер. Ангарский, ул. Бийская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</si>
  <si>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</si>
  <si>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выкуп ПСД</t>
  </si>
  <si>
    <t xml:space="preserve">Мероприятия по приведению качества питьевой воды от одиночных скважин в соответствии с установленными требованиями 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</si>
  <si>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</si>
  <si>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Переключение мкр. Академгородок на сети централизованного водоснабжения (технологическое присоединение)</t>
  </si>
  <si>
    <t>технический план сооружения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</si>
  <si>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 1 пусковой комплекс. 
Строительство канализационного коллектора по ул. Б. Подгорная от ул. Дальне-Ключевская до главной насосной станции (далее - ГНС); . 2 пусковой комплекс.
Строительство канализационного коллектора по
ул. Дальне-Ключевская до ул. Б-Подгорная
3 пусковой комплекс. 
Строительство канализационного коллектора от пер. Светлого до ул. Первомайской.
2 этап строительства, в том числе 1 пусковой комплекс. 
Строительство канализационной насосной станции 4а по строительному адресу: 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 Строительство канализационного коллектора Ду =1400мм по ул. Алтайской от ул. Гоголя до КНС - 4а
</t>
  </si>
  <si>
    <t>Реконструкция КНС-4 и строительство канализационных коллекторов</t>
  </si>
  <si>
    <t>1350 куб.м/сут.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</si>
  <si>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</si>
  <si>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</si>
  <si>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связи)</t>
  </si>
  <si>
    <t>10</t>
  </si>
  <si>
    <t>11</t>
  </si>
  <si>
    <t>34</t>
  </si>
  <si>
    <t>35</t>
  </si>
  <si>
    <t>36</t>
  </si>
  <si>
    <t>37</t>
  </si>
  <si>
    <t>38</t>
  </si>
  <si>
    <t xml:space="preserve">      -</t>
  </si>
  <si>
    <t xml:space="preserve">  -</t>
  </si>
  <si>
    <t xml:space="preserve">        -</t>
  </si>
  <si>
    <t xml:space="preserve">   -</t>
  </si>
  <si>
    <t xml:space="preserve">     -</t>
  </si>
  <si>
    <t xml:space="preserve">       -</t>
  </si>
  <si>
    <t>Строительство ливневой канализации по адресу: г.Томск, ул. Бирюкова, 6</t>
  </si>
  <si>
    <t>Строительство сетей водоснабжения в пос. Залесье (решение судов)</t>
  </si>
  <si>
    <t>Строительство сетей водоснабжения по адресу: пос.Росинка, ул.Благовещенская, ул.Озёрная</t>
  </si>
  <si>
    <t>Строительство сетей водоснабжения по адресу: пос.Кузовлево, пер.Тихий, ул.Советская, ул.Пионерская</t>
  </si>
  <si>
    <t>Строительство сетей водоснабжения по адресу: д. Лоскутово:
пер. Ракетный;
ул. Трактовая;
ул. Новая</t>
  </si>
  <si>
    <t>Строительство сетей водоснабжения по адресу: пер.Анжерский; ул. Ангарская (от ул.Ялтинская до пер. Чаинский, ул. Грибоедова, пер. Радищева)</t>
  </si>
  <si>
    <t>Строительство сетей водоснабжения по адресу: дер. Киргизка</t>
  </si>
  <si>
    <t>Строительство сетей водоснабжения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</si>
  <si>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 по адресу: ул. Юргинская</t>
  </si>
  <si>
    <t>Строительство сетей водоснабжения по адресу: ул.Первомайская до домов 171, 173, 109, 110, 113</t>
  </si>
  <si>
    <t>Строительство сетей водоснабжения по адресу: пос. Хромовка</t>
  </si>
  <si>
    <t xml:space="preserve">Строительство сетей водоснабжения по адресу:п.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</si>
  <si>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 по адресу: пер. Чаинский, ул. Крымская</t>
  </si>
  <si>
    <t>Строительство сетей водоснабжения по адресу: ул. Географическая</t>
  </si>
  <si>
    <t>Строительство сетей водоснабжения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</si>
  <si>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 по адресу: пер. Березовский,  пер.Барабинский, пер. Донской, ул. Обская</t>
  </si>
  <si>
    <t xml:space="preserve">Строительство сетей водоснабжения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</si>
  <si>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 по адресу: п. Геологов</t>
  </si>
  <si>
    <t>Строительство сетей водоснабжения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</si>
  <si>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 по адресу: пос.Штамово</t>
  </si>
  <si>
    <t>Строительство сетей водоснабжения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</si>
  <si>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 по адресу: ул.2-ая Лесная</t>
  </si>
  <si>
    <t>Строительство сетей водоснабжения по адресу: ул. Чулымский тракт</t>
  </si>
  <si>
    <t xml:space="preserve"> Строительство сетей водоснабжения по адресу: пер. Днепровский</t>
  </si>
  <si>
    <t>Строительство сетей водоснабжения по адресу: пер. Путевой</t>
  </si>
  <si>
    <t xml:space="preserve"> Строительство сетей водоснабжения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</si>
  <si>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 по адресу: ул. Научная</t>
  </si>
  <si>
    <t>Строительство сетей водоснабжения по адресу: пр. Научный</t>
  </si>
  <si>
    <t>Строительство сетей водоснабжения по адресу:пер. Рабочий</t>
  </si>
  <si>
    <t>Строительство сетей водоснабжения по адресу: ул. Северо-Каштачная</t>
  </si>
  <si>
    <t>Строительство сетей водоснабжения по адресу: ул. Войлочная</t>
  </si>
  <si>
    <t>Строительство сетей водоснабжения по адресу: пер. Ботанический</t>
  </si>
  <si>
    <t>Строительство сетей водоснабжения по адресу: ул. Пропиточная</t>
  </si>
  <si>
    <t>Строительство сетей водоснабжения по адресу: ул. Крепежная</t>
  </si>
  <si>
    <t>Строительство сетей водоснабжения по адресу: пер. Стрелочный</t>
  </si>
  <si>
    <t>Строительство сетей водоснабжения по адресу: ул. Нарымская</t>
  </si>
  <si>
    <t>Строительство сетей водоснабжения по адресу: ул. Блок-Пост</t>
  </si>
  <si>
    <t>Строительство сетей водоснабжения по адресу: пер. Обской</t>
  </si>
  <si>
    <t>Строительство сетей водоснабжения по адресу: ул. Игарская</t>
  </si>
  <si>
    <t>Строительство сетей водоснабжения по адресу: ул. Новороссийская</t>
  </si>
  <si>
    <t>Строительство сетей водоснабжения по адресу: пер. Брусничный</t>
  </si>
  <si>
    <t>Строительство сетей водоснабжения по адресу: пер. Ростовский</t>
  </si>
  <si>
    <t>Строительство сетей водоснабжения по адресу: пер. Туристский</t>
  </si>
  <si>
    <t>Строительство сетей водоснабжения по адресу: ул. Оренбургская</t>
  </si>
  <si>
    <t>Строительство сетей водоснабжения по адресу: ул. Мостовая</t>
  </si>
  <si>
    <t>Строительство сетей водоснабжения по адресу: пер. Тупиковый</t>
  </si>
  <si>
    <t>Строительство сетей водоснабжения по адресу: пер. Просторный</t>
  </si>
  <si>
    <t>Строительство сетей водоснабжения по адресу: пер. Камский</t>
  </si>
  <si>
    <t>Строительство сетей водоснабжения по адресу: пер. Светлый</t>
  </si>
  <si>
    <t>Строительство сетей водоснабжения по адресу: пер. Новостанционный</t>
  </si>
  <si>
    <t>Строительство сетей водоснабжения по адресу: пер. Целинный</t>
  </si>
  <si>
    <t>Строительство сетей водоснабжения по адресу: ул. Героев Чубаровцев</t>
  </si>
  <si>
    <t>Строительство сетей водоснабжения по адресу:пер. Зеленый</t>
  </si>
  <si>
    <t>Строительство сетей водоснабжения по адресу: пер. Заварзинский</t>
  </si>
  <si>
    <t>Строительство сетей водоснабжения по адресу: ул. Кубанская</t>
  </si>
  <si>
    <t>Строительство сетей водоснабжения по адресу: пер. Парабельский</t>
  </si>
  <si>
    <t>Строительство сетей водоснабжения по адресу: пос. Предтеченск, ул. Вокзальная, 4,5,7,10,11,12</t>
  </si>
  <si>
    <t>Строительство сетей водоснабжения в пос. Наука</t>
  </si>
  <si>
    <t>230,62
213,58
253,62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</si>
  <si>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</si>
  <si>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</si>
  <si>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</si>
  <si>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</si>
  <si>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</si>
  <si>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</si>
  <si>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</si>
  <si>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</si>
  <si>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</si>
  <si>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</si>
  <si>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</si>
  <si>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</si>
  <si>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Ликвидация несанкционированных врезок в систему ливневой канализации и выпусков сточных вод в водные объекты, в том числе: г. Томск, ул. Алтайская, д. 5 (решение судов)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</si>
  <si>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</si>
  <si>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</si>
  <si>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 xml:space="preserve"> - 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</si>
  <si>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</si>
  <si>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</si>
  <si>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</si>
  <si>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</si>
  <si>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Реконструкция тепловых сетей, расположенных по ул. Елизаровых, 53т в г. Томске</t>
  </si>
  <si>
    <t>Реконструкция тепловых сетей, расположенных по ул. Парковая, 25т в г. Томске</t>
  </si>
  <si>
    <t>Реконструкция ЦТП-69 с выносом за границы земельного участка, планируемого для строительства школы</t>
  </si>
  <si>
    <t>Актулизация схемы теплоснабжения</t>
  </si>
  <si>
    <t>А</t>
  </si>
  <si>
    <t>Строительство объекта: «Организация централизованного водоснабжения для жителей жилых домов № 1 ,2, 3, 4 по ул. Мелиоративная в пос. Предтеченск (решение суда)»</t>
  </si>
  <si>
    <t>Строительство станции водоподготовки в д. Лоскутово муниципального образования «Город Томск» Томской области</t>
  </si>
  <si>
    <t>Строительство сетей водоснабжения в с. Дзержинское муниципального образования «Город Томск»</t>
  </si>
  <si>
    <t xml:space="preserve">Переключение жилых домов, запитанных от котельной завода «Сибкабель» к центральным тепловым сетям
</t>
  </si>
  <si>
    <t>Строительство сетей водоснабжения муниципального образования «Город Томск» (3 этап)</t>
  </si>
  <si>
    <r>
  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</t>
    </r>
    <r>
      <rPr>
        <u val="single"/>
        <sz val="14"/>
        <rFont val="Times New Roman"/>
        <family val="1"/>
      </rPr>
      <t>Сети электроснабжения»</t>
    </r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</si>
  <si>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«Водоресурс»</t>
  </si>
  <si>
    <t>Реконструкция тепловых сетей от ЦТП-14 «Степановка»</t>
  </si>
  <si>
    <t>Реконструкция тепловых сетей от ЦТП-50 «Томскакабель»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</si>
  <si>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</si>
  <si>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Приложение 3 к подпрограмме «Развитие инженерной инфраструктуры на 2015-2025 годы»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</si>
</sst>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3">
    <xf numFmtId="0" fontId="0" fillId="0" borderId="0" xfId="0" applyAlignment="1">
      <alignment/>
    </xf>
    <xf numFmtId="4" fontId="3" fillId="24" borderId="0" xfId="0" applyNumberFormat="1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72" fontId="4" fillId="24" borderId="12" xfId="0" applyNumberFormat="1" applyFont="1" applyFill="1" applyBorder="1" applyAlignment="1">
      <alignment horizontal="center" vertical="center" wrapText="1"/>
    </xf>
    <xf numFmtId="172" fontId="4" fillId="24" borderId="13" xfId="0" applyNumberFormat="1" applyFont="1" applyFill="1" applyBorder="1" applyAlignment="1">
      <alignment horizontal="center" vertical="center" wrapText="1"/>
    </xf>
    <xf numFmtId="172" fontId="4" fillId="24" borderId="14" xfId="0" applyNumberFormat="1" applyFont="1" applyFill="1" applyBorder="1" applyAlignment="1">
      <alignment horizontal="center" vertical="center" wrapText="1"/>
    </xf>
    <xf numFmtId="172" fontId="4" fillId="24" borderId="15" xfId="0" applyNumberFormat="1" applyFont="1" applyFill="1" applyBorder="1" applyAlignment="1">
      <alignment horizontal="center" vertical="center" wrapText="1"/>
    </xf>
    <xf numFmtId="172" fontId="4" fillId="24" borderId="16" xfId="0" applyNumberFormat="1" applyFont="1" applyFill="1" applyBorder="1" applyAlignment="1">
      <alignment horizontal="center" vertical="center" wrapText="1"/>
    </xf>
    <xf numFmtId="172" fontId="4" fillId="24" borderId="17" xfId="0" applyNumberFormat="1" applyFont="1" applyFill="1" applyBorder="1" applyAlignment="1">
      <alignment horizontal="center" vertical="center" wrapText="1"/>
    </xf>
    <xf numFmtId="172" fontId="4" fillId="24" borderId="18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172" fontId="2" fillId="24" borderId="17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172" fontId="4" fillId="24" borderId="2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left" vertical="center" wrapText="1"/>
    </xf>
    <xf numFmtId="49" fontId="3" fillId="24" borderId="0" xfId="0" applyNumberFormat="1" applyFont="1" applyFill="1" applyAlignment="1">
      <alignment vertical="center" wrapText="1"/>
    </xf>
    <xf numFmtId="4" fontId="3" fillId="24" borderId="0" xfId="0" applyNumberFormat="1" applyFont="1" applyFill="1" applyAlignment="1">
      <alignment horizontal="left" vertical="center" wrapText="1"/>
    </xf>
    <xf numFmtId="4" fontId="4" fillId="24" borderId="0" xfId="0" applyNumberFormat="1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9" fillId="24" borderId="0" xfId="0" applyFont="1" applyFill="1" applyAlignment="1">
      <alignment horizontal="left" vertical="center" wrapText="1"/>
    </xf>
    <xf numFmtId="172" fontId="2" fillId="24" borderId="21" xfId="0" applyNumberFormat="1" applyFont="1" applyFill="1" applyBorder="1" applyAlignment="1">
      <alignment horizontal="center" vertical="center" wrapText="1"/>
    </xf>
    <xf numFmtId="172" fontId="4" fillId="24" borderId="22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3" fillId="24" borderId="0" xfId="0" applyFont="1" applyFill="1" applyAlignment="1">
      <alignment horizontal="left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24" borderId="23" xfId="0" applyNumberFormat="1" applyFont="1" applyFill="1" applyBorder="1" applyAlignment="1">
      <alignment horizontal="center" vertical="center" wrapText="1"/>
    </xf>
    <xf numFmtId="172" fontId="4" fillId="24" borderId="11" xfId="0" applyNumberFormat="1" applyFont="1" applyFill="1" applyBorder="1" applyAlignment="1">
      <alignment horizontal="center" vertical="center" wrapText="1"/>
    </xf>
    <xf numFmtId="172" fontId="4" fillId="24" borderId="24" xfId="0" applyNumberFormat="1" applyFont="1" applyFill="1" applyBorder="1" applyAlignment="1">
      <alignment horizontal="center" vertical="center" wrapText="1"/>
    </xf>
    <xf numFmtId="172" fontId="4" fillId="24" borderId="21" xfId="0" applyNumberFormat="1" applyFont="1" applyFill="1" applyBorder="1" applyAlignment="1">
      <alignment horizontal="center" vertical="center" wrapText="1"/>
    </xf>
    <xf numFmtId="172" fontId="4" fillId="24" borderId="25" xfId="0" applyNumberFormat="1" applyFont="1" applyFill="1" applyBorder="1" applyAlignment="1">
      <alignment horizontal="center" vertical="center" wrapText="1"/>
    </xf>
    <xf numFmtId="172" fontId="27" fillId="24" borderId="21" xfId="0" applyNumberFormat="1" applyFont="1" applyFill="1" applyBorder="1" applyAlignment="1">
      <alignment horizontal="center" vertical="center" wrapText="1"/>
    </xf>
    <xf numFmtId="172" fontId="27" fillId="24" borderId="14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left" vertical="center" wrapText="1"/>
    </xf>
    <xf numFmtId="172" fontId="4" fillId="2" borderId="25" xfId="0" applyNumberFormat="1" applyFont="1" applyFill="1" applyBorder="1" applyAlignment="1">
      <alignment horizontal="center" vertical="center" wrapText="1"/>
    </xf>
    <xf numFmtId="172" fontId="4" fillId="2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72" fontId="4" fillId="2" borderId="21" xfId="0" applyNumberFormat="1" applyFont="1" applyFill="1" applyBorder="1" applyAlignment="1">
      <alignment horizontal="center" vertical="center" wrapText="1"/>
    </xf>
    <xf numFmtId="172" fontId="4" fillId="2" borderId="14" xfId="0" applyNumberFormat="1" applyFont="1" applyFill="1" applyBorder="1" applyAlignment="1">
      <alignment horizontal="center" vertical="center" wrapText="1"/>
    </xf>
    <xf numFmtId="172" fontId="4" fillId="2" borderId="24" xfId="0" applyNumberFormat="1" applyFont="1" applyFill="1" applyBorder="1" applyAlignment="1">
      <alignment horizontal="center" vertical="center" wrapText="1"/>
    </xf>
    <xf numFmtId="172" fontId="4" fillId="2" borderId="2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72" fontId="4" fillId="2" borderId="15" xfId="0" applyNumberFormat="1" applyFont="1" applyFill="1" applyBorder="1" applyAlignment="1">
      <alignment horizontal="center" vertical="center" wrapText="1"/>
    </xf>
    <xf numFmtId="172" fontId="4" fillId="2" borderId="16" xfId="0" applyNumberFormat="1" applyFont="1" applyFill="1" applyBorder="1" applyAlignment="1">
      <alignment horizontal="center" vertical="center" wrapText="1"/>
    </xf>
    <xf numFmtId="172" fontId="4" fillId="2" borderId="10" xfId="0" applyNumberFormat="1" applyFont="1" applyFill="1" applyBorder="1" applyAlignment="1">
      <alignment horizontal="center" vertical="center" wrapText="1"/>
    </xf>
    <xf numFmtId="172" fontId="4" fillId="2" borderId="17" xfId="0" applyNumberFormat="1" applyFont="1" applyFill="1" applyBorder="1" applyAlignment="1">
      <alignment horizontal="center" vertical="center" wrapText="1"/>
    </xf>
    <xf numFmtId="172" fontId="4" fillId="2" borderId="20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172" fontId="4" fillId="24" borderId="27" xfId="0" applyNumberFormat="1" applyFont="1" applyFill="1" applyBorder="1" applyAlignment="1">
      <alignment horizontal="center" vertical="center" wrapText="1"/>
    </xf>
    <xf numFmtId="172" fontId="27" fillId="24" borderId="28" xfId="0" applyNumberFormat="1" applyFont="1" applyFill="1" applyBorder="1" applyAlignment="1">
      <alignment horizontal="center" vertical="center" wrapText="1"/>
    </xf>
    <xf numFmtId="172" fontId="4" fillId="2" borderId="2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172" fontId="4" fillId="2" borderId="23" xfId="0" applyNumberFormat="1" applyFont="1" applyFill="1" applyBorder="1" applyAlignment="1">
      <alignment horizontal="center" vertical="center" wrapText="1"/>
    </xf>
    <xf numFmtId="172" fontId="4" fillId="2" borderId="2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8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172" fontId="4" fillId="0" borderId="25" xfId="0" applyNumberFormat="1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3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0" borderId="46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 vertical="center" wrapText="1"/>
    </xf>
    <xf numFmtId="172" fontId="3" fillId="0" borderId="50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52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4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172" fontId="3" fillId="0" borderId="3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4" fillId="0" borderId="39" xfId="0" applyNumberFormat="1" applyFont="1" applyFill="1" applyBorder="1" applyAlignment="1">
      <alignment horizontal="center" vertical="center" wrapText="1"/>
    </xf>
    <xf numFmtId="172" fontId="4" fillId="0" borderId="36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2" fontId="3" fillId="0" borderId="24" xfId="0" applyNumberFormat="1" applyFont="1" applyFill="1" applyBorder="1" applyAlignment="1">
      <alignment horizontal="center" vertical="center" wrapText="1"/>
    </xf>
    <xf numFmtId="172" fontId="3" fillId="0" borderId="5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5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4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175" fontId="4" fillId="0" borderId="23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172" fontId="4" fillId="0" borderId="4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172" fontId="4" fillId="0" borderId="50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21" xfId="0" applyNumberFormat="1" applyFont="1" applyFill="1" applyBorder="1" applyAlignment="1">
      <alignment horizontal="left" vertical="top" wrapText="1"/>
    </xf>
    <xf numFmtId="0" fontId="4" fillId="0" borderId="55" xfId="0" applyFont="1" applyFill="1" applyBorder="1" applyAlignment="1">
      <alignment horizontal="center" vertical="top" wrapText="1"/>
    </xf>
    <xf numFmtId="49" fontId="4" fillId="0" borderId="56" xfId="0" applyNumberFormat="1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left" vertical="top" wrapText="1"/>
    </xf>
    <xf numFmtId="0" fontId="4" fillId="0" borderId="56" xfId="0" applyNumberFormat="1" applyFont="1" applyFill="1" applyBorder="1" applyAlignment="1">
      <alignment horizontal="center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172" fontId="4" fillId="0" borderId="52" xfId="0" applyNumberFormat="1" applyFont="1" applyFill="1" applyBorder="1" applyAlignment="1">
      <alignment horizontal="center" vertical="center" wrapText="1"/>
    </xf>
    <xf numFmtId="172" fontId="4" fillId="0" borderId="41" xfId="0" applyNumberFormat="1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left" vertical="top" wrapText="1"/>
    </xf>
    <xf numFmtId="172" fontId="4" fillId="0" borderId="57" xfId="0" applyNumberFormat="1" applyFont="1" applyFill="1" applyBorder="1" applyAlignment="1">
      <alignment horizontal="center" vertical="center" wrapText="1"/>
    </xf>
    <xf numFmtId="172" fontId="27" fillId="0" borderId="21" xfId="0" applyNumberFormat="1" applyFont="1" applyFill="1" applyBorder="1" applyAlignment="1">
      <alignment horizontal="center" vertical="center" wrapText="1"/>
    </xf>
    <xf numFmtId="172" fontId="27" fillId="0" borderId="55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Alignment="1">
      <alignment horizontal="left" vertical="center" wrapText="1"/>
    </xf>
    <xf numFmtId="172" fontId="6" fillId="0" borderId="0" xfId="0" applyNumberFormat="1" applyFont="1" applyFill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72" fontId="3" fillId="0" borderId="25" xfId="0" applyNumberFormat="1" applyFont="1" applyFill="1" applyBorder="1" applyAlignment="1">
      <alignment horizontal="left" vertical="center" wrapText="1"/>
    </xf>
    <xf numFmtId="172" fontId="3" fillId="0" borderId="30" xfId="0" applyNumberFormat="1" applyFont="1" applyFill="1" applyBorder="1" applyAlignment="1">
      <alignment horizontal="left" vertical="center" wrapText="1"/>
    </xf>
    <xf numFmtId="172" fontId="3" fillId="0" borderId="11" xfId="0" applyNumberFormat="1" applyFont="1" applyFill="1" applyBorder="1" applyAlignment="1">
      <alignment horizontal="left" vertical="center" wrapText="1"/>
    </xf>
    <xf numFmtId="172" fontId="3" fillId="0" borderId="46" xfId="0" applyNumberFormat="1" applyFont="1" applyFill="1" applyBorder="1" applyAlignment="1">
      <alignment horizontal="left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left" vertical="center" wrapText="1"/>
    </xf>
    <xf numFmtId="172" fontId="3" fillId="0" borderId="50" xfId="0" applyNumberFormat="1" applyFont="1" applyFill="1" applyBorder="1" applyAlignment="1">
      <alignment horizontal="left" vertical="center" wrapText="1"/>
    </xf>
    <xf numFmtId="172" fontId="3" fillId="0" borderId="15" xfId="0" applyNumberFormat="1" applyFont="1" applyFill="1" applyBorder="1" applyAlignment="1">
      <alignment horizontal="left" vertical="center" wrapText="1"/>
    </xf>
    <xf numFmtId="172" fontId="3" fillId="0" borderId="52" xfId="0" applyNumberFormat="1" applyFont="1" applyFill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left" vertical="center" wrapText="1"/>
    </xf>
    <xf numFmtId="172" fontId="3" fillId="0" borderId="41" xfId="0" applyNumberFormat="1" applyFont="1" applyFill="1" applyBorder="1" applyAlignment="1">
      <alignment horizontal="left" vertical="center" wrapText="1"/>
    </xf>
    <xf numFmtId="172" fontId="3" fillId="0" borderId="23" xfId="0" applyNumberFormat="1" applyFont="1" applyFill="1" applyBorder="1" applyAlignment="1">
      <alignment horizontal="left" vertical="center" wrapText="1"/>
    </xf>
    <xf numFmtId="172" fontId="3" fillId="0" borderId="31" xfId="0" applyNumberFormat="1" applyFont="1" applyFill="1" applyBorder="1" applyAlignment="1">
      <alignment horizontal="left" vertical="center" wrapText="1"/>
    </xf>
    <xf numFmtId="172" fontId="4" fillId="0" borderId="58" xfId="0" applyNumberFormat="1" applyFont="1" applyFill="1" applyBorder="1" applyAlignment="1">
      <alignment horizontal="center" vertical="center" wrapText="1"/>
    </xf>
    <xf numFmtId="172" fontId="3" fillId="0" borderId="24" xfId="0" applyNumberFormat="1" applyFont="1" applyFill="1" applyBorder="1" applyAlignment="1">
      <alignment horizontal="left" vertical="center" wrapText="1"/>
    </xf>
    <xf numFmtId="172" fontId="3" fillId="0" borderId="54" xfId="0" applyNumberFormat="1" applyFont="1" applyFill="1" applyBorder="1" applyAlignment="1">
      <alignment horizontal="left" vertical="center" wrapText="1"/>
    </xf>
    <xf numFmtId="172" fontId="2" fillId="0" borderId="39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172" fontId="7" fillId="0" borderId="41" xfId="0" applyNumberFormat="1" applyFont="1" applyFill="1" applyBorder="1" applyAlignment="1">
      <alignment horizontal="left" vertical="center" wrapText="1"/>
    </xf>
    <xf numFmtId="172" fontId="4" fillId="0" borderId="21" xfId="0" applyNumberFormat="1" applyFont="1" applyFill="1" applyBorder="1" applyAlignment="1">
      <alignment horizontal="left" vertical="center" wrapText="1"/>
    </xf>
    <xf numFmtId="172" fontId="4" fillId="0" borderId="50" xfId="0" applyNumberFormat="1" applyFont="1" applyFill="1" applyBorder="1" applyAlignment="1">
      <alignment horizontal="left" vertical="center" wrapText="1"/>
    </xf>
    <xf numFmtId="172" fontId="4" fillId="0" borderId="23" xfId="0" applyNumberFormat="1" applyFont="1" applyFill="1" applyBorder="1" applyAlignment="1">
      <alignment horizontal="left" vertical="center" wrapText="1"/>
    </xf>
    <xf numFmtId="172" fontId="4" fillId="0" borderId="31" xfId="0" applyNumberFormat="1" applyFont="1" applyFill="1" applyBorder="1" applyAlignment="1">
      <alignment horizontal="left" vertical="center" wrapText="1"/>
    </xf>
    <xf numFmtId="172" fontId="4" fillId="0" borderId="37" xfId="0" applyNumberFormat="1" applyFont="1" applyFill="1" applyBorder="1" applyAlignment="1">
      <alignment horizontal="center" vertical="center" wrapText="1"/>
    </xf>
    <xf numFmtId="172" fontId="3" fillId="0" borderId="36" xfId="0" applyNumberFormat="1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>
      <alignment horizontal="left" vertical="center" wrapText="1"/>
    </xf>
    <xf numFmtId="172" fontId="4" fillId="0" borderId="52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left" vertical="center" wrapText="1"/>
    </xf>
    <xf numFmtId="172" fontId="4" fillId="0" borderId="41" xfId="0" applyNumberFormat="1" applyFont="1" applyFill="1" applyBorder="1" applyAlignment="1">
      <alignment horizontal="left" vertical="center" wrapText="1"/>
    </xf>
    <xf numFmtId="172" fontId="4" fillId="0" borderId="25" xfId="0" applyNumberFormat="1" applyFont="1" applyFill="1" applyBorder="1" applyAlignment="1">
      <alignment horizontal="left" vertical="center" wrapText="1"/>
    </xf>
    <xf numFmtId="172" fontId="4" fillId="0" borderId="30" xfId="0" applyNumberFormat="1" applyFont="1" applyFill="1" applyBorder="1" applyAlignment="1">
      <alignment horizontal="left" vertical="center" wrapText="1"/>
    </xf>
    <xf numFmtId="172" fontId="27" fillId="0" borderId="21" xfId="0" applyNumberFormat="1" applyFont="1" applyFill="1" applyBorder="1" applyAlignment="1">
      <alignment horizontal="left" vertical="center" wrapText="1"/>
    </xf>
    <xf numFmtId="172" fontId="27" fillId="0" borderId="55" xfId="0" applyNumberFormat="1" applyFont="1" applyFill="1" applyBorder="1" applyAlignment="1">
      <alignment horizontal="left" vertical="center" wrapText="1"/>
    </xf>
    <xf numFmtId="172" fontId="4" fillId="0" borderId="5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9"/>
  <sheetViews>
    <sheetView tabSelected="1" view="pageBreakPreview" zoomScale="80" zoomScaleNormal="70" zoomScaleSheetLayoutView="80" zoomScalePageLayoutView="0" workbookViewId="0" topLeftCell="A1">
      <pane xSplit="5" ySplit="7" topLeftCell="X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97" sqref="D297:D298"/>
    </sheetView>
  </sheetViews>
  <sheetFormatPr defaultColWidth="9.140625" defaultRowHeight="12.75"/>
  <cols>
    <col min="1" max="1" width="8.7109375" style="17" customWidth="1"/>
    <col min="2" max="2" width="64.7109375" style="24" customWidth="1"/>
    <col min="3" max="3" width="38.421875" style="16" customWidth="1"/>
    <col min="4" max="4" width="21.140625" style="24" customWidth="1"/>
    <col min="5" max="5" width="20.00390625" style="24" customWidth="1"/>
    <col min="6" max="6" width="17.140625" style="24" hidden="1" customWidth="1"/>
    <col min="7" max="7" width="13.7109375" style="24" customWidth="1"/>
    <col min="8" max="8" width="14.7109375" style="24" customWidth="1"/>
    <col min="9" max="9" width="20.140625" style="24" hidden="1" customWidth="1"/>
    <col min="10" max="10" width="19.7109375" style="24" hidden="1" customWidth="1"/>
    <col min="11" max="11" width="18.28125" style="24" hidden="1" customWidth="1"/>
    <col min="12" max="12" width="19.57421875" style="24" hidden="1" customWidth="1"/>
    <col min="13" max="13" width="20.421875" style="24" hidden="1" customWidth="1"/>
    <col min="14" max="14" width="17.00390625" style="24" customWidth="1"/>
    <col min="15" max="15" width="17.28125" style="1" customWidth="1"/>
    <col min="16" max="16" width="16.8515625" style="1" customWidth="1"/>
    <col min="17" max="17" width="16.140625" style="19" customWidth="1"/>
    <col min="18" max="18" width="15.00390625" style="1" customWidth="1"/>
    <col min="19" max="19" width="16.421875" style="1" customWidth="1"/>
    <col min="20" max="20" width="22.421875" style="24" customWidth="1"/>
    <col min="21" max="21" width="20.57421875" style="24" customWidth="1"/>
    <col min="22" max="22" width="23.421875" style="24" customWidth="1"/>
    <col min="23" max="23" width="20.7109375" style="24" customWidth="1"/>
    <col min="24" max="24" width="18.140625" style="24" customWidth="1"/>
    <col min="25" max="25" width="23.00390625" style="24" customWidth="1"/>
    <col min="26" max="26" width="13.28125" style="24" customWidth="1"/>
    <col min="27" max="27" width="14.57421875" style="24" customWidth="1"/>
    <col min="28" max="28" width="12.28125" style="24" customWidth="1"/>
    <col min="29" max="29" width="12.421875" style="24" customWidth="1"/>
    <col min="30" max="30" width="12.00390625" style="24" customWidth="1"/>
    <col min="31" max="31" width="12.140625" style="24" customWidth="1"/>
    <col min="32" max="16384" width="9.140625" style="24" customWidth="1"/>
  </cols>
  <sheetData>
    <row r="1" spans="1:31" ht="71.25" customHeight="1">
      <c r="A1" s="64"/>
      <c r="B1" s="64"/>
      <c r="C1" s="64"/>
      <c r="D1" s="64"/>
      <c r="E1" s="64"/>
      <c r="F1" s="64"/>
      <c r="G1" s="64"/>
      <c r="H1" s="64"/>
      <c r="I1" s="64"/>
      <c r="AA1" s="59" t="s">
        <v>315</v>
      </c>
      <c r="AB1" s="59"/>
      <c r="AC1" s="59"/>
      <c r="AD1" s="59"/>
      <c r="AE1" s="59"/>
    </row>
    <row r="2" spans="1:25" s="21" customFormat="1" ht="33" customHeight="1" thickBot="1">
      <c r="A2" s="65" t="s">
        <v>314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31" ht="57.75" customHeight="1">
      <c r="A3" s="68" t="s">
        <v>0</v>
      </c>
      <c r="B3" s="69" t="s">
        <v>1</v>
      </c>
      <c r="C3" s="70" t="s">
        <v>2</v>
      </c>
      <c r="D3" s="69" t="s">
        <v>3</v>
      </c>
      <c r="E3" s="69" t="s">
        <v>4</v>
      </c>
      <c r="F3" s="69" t="s">
        <v>6</v>
      </c>
      <c r="G3" s="69" t="s">
        <v>11</v>
      </c>
      <c r="H3" s="69" t="s">
        <v>191</v>
      </c>
      <c r="I3" s="71" t="s">
        <v>38</v>
      </c>
      <c r="J3" s="72"/>
      <c r="K3" s="72"/>
      <c r="L3" s="72"/>
      <c r="M3" s="72"/>
      <c r="N3" s="72"/>
      <c r="O3" s="72"/>
      <c r="P3" s="72"/>
      <c r="Q3" s="72"/>
      <c r="R3" s="72"/>
      <c r="S3" s="73"/>
      <c r="T3" s="66" t="s">
        <v>15</v>
      </c>
      <c r="U3" s="60" t="s">
        <v>39</v>
      </c>
      <c r="V3" s="60"/>
      <c r="W3" s="60"/>
      <c r="X3" s="60"/>
      <c r="Y3" s="60"/>
      <c r="Z3" s="60"/>
      <c r="AA3" s="60"/>
      <c r="AB3" s="60"/>
      <c r="AC3" s="60"/>
      <c r="AD3" s="60"/>
      <c r="AE3" s="62"/>
    </row>
    <row r="4" spans="1:31" ht="26.25" customHeight="1">
      <c r="A4" s="74"/>
      <c r="B4" s="75"/>
      <c r="C4" s="76"/>
      <c r="D4" s="75"/>
      <c r="E4" s="75"/>
      <c r="F4" s="75"/>
      <c r="G4" s="75"/>
      <c r="H4" s="75"/>
      <c r="I4" s="77"/>
      <c r="J4" s="78"/>
      <c r="K4" s="78"/>
      <c r="L4" s="78"/>
      <c r="M4" s="78"/>
      <c r="N4" s="78"/>
      <c r="O4" s="78"/>
      <c r="P4" s="78"/>
      <c r="Q4" s="78"/>
      <c r="R4" s="78"/>
      <c r="S4" s="79"/>
      <c r="T4" s="67"/>
      <c r="U4" s="61"/>
      <c r="V4" s="61"/>
      <c r="W4" s="61"/>
      <c r="X4" s="61"/>
      <c r="Y4" s="61"/>
      <c r="Z4" s="61"/>
      <c r="AA4" s="61"/>
      <c r="AB4" s="61"/>
      <c r="AC4" s="61"/>
      <c r="AD4" s="61"/>
      <c r="AE4" s="63"/>
    </row>
    <row r="5" spans="1:31" ht="22.5" customHeight="1">
      <c r="A5" s="74"/>
      <c r="B5" s="75"/>
      <c r="C5" s="76"/>
      <c r="D5" s="75"/>
      <c r="E5" s="75"/>
      <c r="F5" s="75"/>
      <c r="G5" s="75"/>
      <c r="H5" s="75"/>
      <c r="I5" s="77"/>
      <c r="J5" s="78"/>
      <c r="K5" s="78"/>
      <c r="L5" s="78"/>
      <c r="M5" s="78"/>
      <c r="N5" s="78"/>
      <c r="O5" s="78"/>
      <c r="P5" s="78"/>
      <c r="Q5" s="78"/>
      <c r="R5" s="78"/>
      <c r="S5" s="79"/>
      <c r="T5" s="67"/>
      <c r="U5" s="61"/>
      <c r="V5" s="61"/>
      <c r="W5" s="61"/>
      <c r="X5" s="61"/>
      <c r="Y5" s="61"/>
      <c r="Z5" s="61"/>
      <c r="AA5" s="61"/>
      <c r="AB5" s="61"/>
      <c r="AC5" s="61"/>
      <c r="AD5" s="61"/>
      <c r="AE5" s="63"/>
    </row>
    <row r="6" spans="1:31" ht="6" customHeight="1">
      <c r="A6" s="74"/>
      <c r="B6" s="75"/>
      <c r="C6" s="76"/>
      <c r="D6" s="75"/>
      <c r="E6" s="75"/>
      <c r="F6" s="75"/>
      <c r="G6" s="75"/>
      <c r="H6" s="75"/>
      <c r="I6" s="80"/>
      <c r="J6" s="81"/>
      <c r="K6" s="81"/>
      <c r="L6" s="81"/>
      <c r="M6" s="81"/>
      <c r="N6" s="81"/>
      <c r="O6" s="81"/>
      <c r="P6" s="81"/>
      <c r="Q6" s="81"/>
      <c r="R6" s="81"/>
      <c r="S6" s="82"/>
      <c r="T6" s="67"/>
      <c r="U6" s="61"/>
      <c r="V6" s="61"/>
      <c r="W6" s="61"/>
      <c r="X6" s="61"/>
      <c r="Y6" s="61"/>
      <c r="Z6" s="61"/>
      <c r="AA6" s="61"/>
      <c r="AB6" s="61"/>
      <c r="AC6" s="61"/>
      <c r="AD6" s="61"/>
      <c r="AE6" s="63"/>
    </row>
    <row r="7" spans="1:31" ht="85.5" customHeight="1">
      <c r="A7" s="74"/>
      <c r="B7" s="75"/>
      <c r="C7" s="76"/>
      <c r="D7" s="75"/>
      <c r="E7" s="75"/>
      <c r="F7" s="75"/>
      <c r="G7" s="75"/>
      <c r="H7" s="75"/>
      <c r="I7" s="83" t="s">
        <v>13</v>
      </c>
      <c r="J7" s="83" t="s">
        <v>14</v>
      </c>
      <c r="K7" s="83" t="s">
        <v>16</v>
      </c>
      <c r="L7" s="83" t="s">
        <v>36</v>
      </c>
      <c r="M7" s="83" t="s">
        <v>37</v>
      </c>
      <c r="N7" s="83" t="s">
        <v>116</v>
      </c>
      <c r="O7" s="84" t="s">
        <v>133</v>
      </c>
      <c r="P7" s="84" t="s">
        <v>134</v>
      </c>
      <c r="Q7" s="84" t="s">
        <v>135</v>
      </c>
      <c r="R7" s="84" t="s">
        <v>136</v>
      </c>
      <c r="S7" s="85" t="s">
        <v>137</v>
      </c>
      <c r="T7" s="67"/>
      <c r="U7" s="2" t="s">
        <v>13</v>
      </c>
      <c r="V7" s="2" t="s">
        <v>14</v>
      </c>
      <c r="W7" s="2" t="s">
        <v>16</v>
      </c>
      <c r="X7" s="176" t="s">
        <v>36</v>
      </c>
      <c r="Y7" s="176" t="s">
        <v>37</v>
      </c>
      <c r="Z7" s="247" t="s">
        <v>116</v>
      </c>
      <c r="AA7" s="176" t="s">
        <v>133</v>
      </c>
      <c r="AB7" s="176" t="s">
        <v>134</v>
      </c>
      <c r="AC7" s="176" t="s">
        <v>135</v>
      </c>
      <c r="AD7" s="176" t="s">
        <v>136</v>
      </c>
      <c r="AE7" s="248" t="s">
        <v>137</v>
      </c>
    </row>
    <row r="8" spans="1:31" ht="19.5" thickBot="1">
      <c r="A8" s="86">
        <v>1</v>
      </c>
      <c r="B8" s="87">
        <v>2</v>
      </c>
      <c r="C8" s="88">
        <v>3</v>
      </c>
      <c r="D8" s="89">
        <v>4</v>
      </c>
      <c r="E8" s="90">
        <v>5</v>
      </c>
      <c r="F8" s="90">
        <v>6</v>
      </c>
      <c r="G8" s="90">
        <v>7</v>
      </c>
      <c r="H8" s="90">
        <v>8</v>
      </c>
      <c r="I8" s="90">
        <v>9</v>
      </c>
      <c r="J8" s="90">
        <v>10</v>
      </c>
      <c r="K8" s="90">
        <v>11</v>
      </c>
      <c r="L8" s="90">
        <v>12</v>
      </c>
      <c r="M8" s="90">
        <v>13</v>
      </c>
      <c r="N8" s="90">
        <v>14</v>
      </c>
      <c r="O8" s="90">
        <v>15</v>
      </c>
      <c r="P8" s="90">
        <v>16</v>
      </c>
      <c r="Q8" s="90">
        <v>17</v>
      </c>
      <c r="R8" s="90">
        <v>18</v>
      </c>
      <c r="S8" s="90">
        <v>19</v>
      </c>
      <c r="T8" s="3">
        <v>20</v>
      </c>
      <c r="U8" s="3">
        <v>21</v>
      </c>
      <c r="V8" s="3">
        <v>22</v>
      </c>
      <c r="W8" s="3">
        <v>23</v>
      </c>
      <c r="X8" s="90">
        <v>24</v>
      </c>
      <c r="Y8" s="90">
        <v>25</v>
      </c>
      <c r="Z8" s="90">
        <v>26</v>
      </c>
      <c r="AA8" s="90">
        <v>27</v>
      </c>
      <c r="AB8" s="90">
        <v>28</v>
      </c>
      <c r="AC8" s="90">
        <v>29</v>
      </c>
      <c r="AD8" s="90">
        <v>30</v>
      </c>
      <c r="AE8" s="90">
        <v>31</v>
      </c>
    </row>
    <row r="9" spans="1:31" ht="37.5">
      <c r="A9" s="91" t="s">
        <v>46</v>
      </c>
      <c r="B9" s="92" t="s">
        <v>34</v>
      </c>
      <c r="C9" s="93" t="s">
        <v>8</v>
      </c>
      <c r="D9" s="94" t="s">
        <v>5</v>
      </c>
      <c r="E9" s="94" t="s">
        <v>5</v>
      </c>
      <c r="F9" s="94"/>
      <c r="G9" s="94">
        <v>2016</v>
      </c>
      <c r="H9" s="95">
        <f>I9+J9+K9+L9+M9+I10+J10+K10+L10+M10+N9+O9+P9+Q9+R9+S9+O10+P10+Q10+R10+S10</f>
        <v>2812.1</v>
      </c>
      <c r="I9" s="96">
        <v>2472.1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7"/>
      <c r="P9" s="97"/>
      <c r="Q9" s="96"/>
      <c r="R9" s="97"/>
      <c r="S9" s="98"/>
      <c r="T9" s="15">
        <f>SUM(U9:AE9)</f>
        <v>2472.1</v>
      </c>
      <c r="U9" s="31">
        <v>2472.1</v>
      </c>
      <c r="V9" s="31">
        <v>0</v>
      </c>
      <c r="W9" s="31">
        <v>0</v>
      </c>
      <c r="X9" s="96">
        <v>0</v>
      </c>
      <c r="Y9" s="96">
        <v>0</v>
      </c>
      <c r="Z9" s="96">
        <v>0</v>
      </c>
      <c r="AA9" s="249"/>
      <c r="AB9" s="249"/>
      <c r="AC9" s="249"/>
      <c r="AD9" s="249"/>
      <c r="AE9" s="250"/>
    </row>
    <row r="10" spans="1:31" ht="33" customHeight="1" thickBot="1">
      <c r="A10" s="99"/>
      <c r="B10" s="100"/>
      <c r="C10" s="101" t="s">
        <v>32</v>
      </c>
      <c r="D10" s="102"/>
      <c r="E10" s="102"/>
      <c r="F10" s="102"/>
      <c r="G10" s="102"/>
      <c r="H10" s="103"/>
      <c r="I10" s="104">
        <v>340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5"/>
      <c r="P10" s="105"/>
      <c r="Q10" s="104"/>
      <c r="R10" s="105"/>
      <c r="S10" s="106"/>
      <c r="T10" s="9">
        <f>SUM(U10:AE10)</f>
        <v>340</v>
      </c>
      <c r="U10" s="28">
        <v>340</v>
      </c>
      <c r="V10" s="28">
        <v>0</v>
      </c>
      <c r="W10" s="28">
        <v>0</v>
      </c>
      <c r="X10" s="104">
        <v>0</v>
      </c>
      <c r="Y10" s="104">
        <v>0</v>
      </c>
      <c r="Z10" s="104">
        <v>0</v>
      </c>
      <c r="AA10" s="251"/>
      <c r="AB10" s="251"/>
      <c r="AC10" s="251"/>
      <c r="AD10" s="251"/>
      <c r="AE10" s="252"/>
    </row>
    <row r="11" spans="1:31" s="37" customFormat="1" ht="39" customHeight="1">
      <c r="A11" s="107" t="s">
        <v>23</v>
      </c>
      <c r="B11" s="108" t="s">
        <v>278</v>
      </c>
      <c r="C11" s="109" t="s">
        <v>32</v>
      </c>
      <c r="D11" s="110" t="s">
        <v>5</v>
      </c>
      <c r="E11" s="110" t="s">
        <v>5</v>
      </c>
      <c r="F11" s="111">
        <f>12704/1000</f>
        <v>12.704</v>
      </c>
      <c r="G11" s="109" t="s">
        <v>73</v>
      </c>
      <c r="H11" s="96">
        <f>SUM(I11:S11)</f>
        <v>7719.9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7">
        <v>7719.9</v>
      </c>
      <c r="P11" s="97"/>
      <c r="Q11" s="96"/>
      <c r="R11" s="97"/>
      <c r="S11" s="98"/>
      <c r="T11" s="36">
        <f aca="true" t="shared" si="0" ref="T11:T88">U11+V11+W11+X11+Y11+Z11</f>
        <v>50</v>
      </c>
      <c r="U11" s="35">
        <v>50</v>
      </c>
      <c r="V11" s="35">
        <v>0</v>
      </c>
      <c r="W11" s="35">
        <v>0</v>
      </c>
      <c r="X11" s="96">
        <v>0</v>
      </c>
      <c r="Y11" s="96">
        <v>0</v>
      </c>
      <c r="Z11" s="253">
        <v>0</v>
      </c>
      <c r="AA11" s="249"/>
      <c r="AB11" s="249"/>
      <c r="AC11" s="249"/>
      <c r="AD11" s="249"/>
      <c r="AE11" s="250"/>
    </row>
    <row r="12" spans="1:31" s="37" customFormat="1" ht="38.25" thickBot="1">
      <c r="A12" s="112"/>
      <c r="B12" s="113"/>
      <c r="C12" s="114" t="s">
        <v>8</v>
      </c>
      <c r="D12" s="115"/>
      <c r="E12" s="115"/>
      <c r="F12" s="116"/>
      <c r="G12" s="114" t="s">
        <v>151</v>
      </c>
      <c r="H12" s="117" t="s">
        <v>304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71259.1</v>
      </c>
      <c r="Q12" s="117"/>
      <c r="R12" s="118"/>
      <c r="S12" s="119"/>
      <c r="T12" s="39">
        <f>SUM(U12:AE12)</f>
        <v>0</v>
      </c>
      <c r="U12" s="38"/>
      <c r="V12" s="38"/>
      <c r="W12" s="38"/>
      <c r="X12" s="117"/>
      <c r="Y12" s="117"/>
      <c r="Z12" s="166"/>
      <c r="AA12" s="254"/>
      <c r="AB12" s="254"/>
      <c r="AC12" s="254"/>
      <c r="AD12" s="254"/>
      <c r="AE12" s="255"/>
    </row>
    <row r="13" spans="1:31" ht="62.25" customHeight="1" thickBot="1">
      <c r="A13" s="120" t="s">
        <v>47</v>
      </c>
      <c r="B13" s="121" t="s">
        <v>101</v>
      </c>
      <c r="C13" s="122" t="s">
        <v>8</v>
      </c>
      <c r="D13" s="122" t="s">
        <v>5</v>
      </c>
      <c r="E13" s="122" t="s">
        <v>5</v>
      </c>
      <c r="F13" s="122">
        <f>1287/1000</f>
        <v>1.287</v>
      </c>
      <c r="G13" s="122">
        <v>2017</v>
      </c>
      <c r="H13" s="117">
        <f>SUM(I13:S13)</f>
        <v>12731.599999999999</v>
      </c>
      <c r="I13" s="117">
        <v>0</v>
      </c>
      <c r="J13" s="117">
        <v>0</v>
      </c>
      <c r="K13" s="117">
        <f>4672.7+13942.4-4743.8-1139.7</f>
        <v>12731.599999999999</v>
      </c>
      <c r="L13" s="117">
        <v>0</v>
      </c>
      <c r="M13" s="117">
        <v>0</v>
      </c>
      <c r="N13" s="117">
        <v>0</v>
      </c>
      <c r="O13" s="118"/>
      <c r="P13" s="118"/>
      <c r="Q13" s="117"/>
      <c r="R13" s="118"/>
      <c r="S13" s="119"/>
      <c r="T13" s="6">
        <f t="shared" si="0"/>
        <v>12731.599999999999</v>
      </c>
      <c r="U13" s="30">
        <v>0</v>
      </c>
      <c r="V13" s="30">
        <v>0</v>
      </c>
      <c r="W13" s="30">
        <f>4672.7+13942.4-4743.8-1139.7</f>
        <v>12731.599999999999</v>
      </c>
      <c r="X13" s="117">
        <v>0</v>
      </c>
      <c r="Y13" s="117">
        <v>0</v>
      </c>
      <c r="Z13" s="166">
        <v>0</v>
      </c>
      <c r="AA13" s="254"/>
      <c r="AB13" s="254"/>
      <c r="AC13" s="254"/>
      <c r="AD13" s="254"/>
      <c r="AE13" s="255"/>
    </row>
    <row r="14" spans="1:31" s="37" customFormat="1" ht="378" customHeight="1" thickBot="1">
      <c r="A14" s="123" t="s">
        <v>24</v>
      </c>
      <c r="B14" s="124" t="s">
        <v>202</v>
      </c>
      <c r="C14" s="114" t="s">
        <v>66</v>
      </c>
      <c r="D14" s="122" t="s">
        <v>5</v>
      </c>
      <c r="E14" s="122" t="s">
        <v>5</v>
      </c>
      <c r="F14" s="125" t="s">
        <v>17</v>
      </c>
      <c r="G14" s="125" t="s">
        <v>74</v>
      </c>
      <c r="H14" s="117">
        <f>SUM(I14:S14)</f>
        <v>4148.7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7">
        <v>0</v>
      </c>
      <c r="P14" s="127"/>
      <c r="Q14" s="126"/>
      <c r="R14" s="126">
        <v>4148.7</v>
      </c>
      <c r="S14" s="128"/>
      <c r="T14" s="44">
        <f>SUM(U14:AE14)</f>
        <v>0</v>
      </c>
      <c r="U14" s="43"/>
      <c r="V14" s="43"/>
      <c r="W14" s="43"/>
      <c r="X14" s="126"/>
      <c r="Y14" s="126"/>
      <c r="Z14" s="228"/>
      <c r="AA14" s="256"/>
      <c r="AB14" s="256"/>
      <c r="AC14" s="256"/>
      <c r="AD14" s="256"/>
      <c r="AE14" s="257"/>
    </row>
    <row r="15" spans="1:31" s="37" customFormat="1" ht="61.5" customHeight="1" thickBot="1">
      <c r="A15" s="123" t="s">
        <v>25</v>
      </c>
      <c r="B15" s="124" t="s">
        <v>203</v>
      </c>
      <c r="C15" s="114" t="s">
        <v>66</v>
      </c>
      <c r="D15" s="122" t="s">
        <v>5</v>
      </c>
      <c r="E15" s="122" t="s">
        <v>5</v>
      </c>
      <c r="F15" s="125" t="s">
        <v>17</v>
      </c>
      <c r="G15" s="109" t="s">
        <v>73</v>
      </c>
      <c r="H15" s="117">
        <f>SUM(I15:S15)</f>
        <v>21000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7">
        <v>0</v>
      </c>
      <c r="P15" s="127"/>
      <c r="Q15" s="126"/>
      <c r="R15" s="126">
        <v>21000</v>
      </c>
      <c r="S15" s="128"/>
      <c r="T15" s="44">
        <f>SUM(U15:AE15)</f>
        <v>0</v>
      </c>
      <c r="U15" s="43"/>
      <c r="V15" s="43"/>
      <c r="W15" s="43"/>
      <c r="X15" s="126"/>
      <c r="Y15" s="126"/>
      <c r="Z15" s="228"/>
      <c r="AA15" s="256"/>
      <c r="AB15" s="256"/>
      <c r="AC15" s="256"/>
      <c r="AD15" s="256"/>
      <c r="AE15" s="257"/>
    </row>
    <row r="16" spans="1:31" ht="18.75">
      <c r="A16" s="129" t="s">
        <v>26</v>
      </c>
      <c r="B16" s="130" t="s">
        <v>306</v>
      </c>
      <c r="C16" s="131" t="s">
        <v>32</v>
      </c>
      <c r="D16" s="132" t="s">
        <v>5</v>
      </c>
      <c r="E16" s="132" t="s">
        <v>5</v>
      </c>
      <c r="F16" s="133" t="s">
        <v>17</v>
      </c>
      <c r="G16" s="134" t="s">
        <v>127</v>
      </c>
      <c r="H16" s="135">
        <f>SUM(I16:S20)</f>
        <v>196024.71</v>
      </c>
      <c r="I16" s="136">
        <v>20</v>
      </c>
      <c r="J16" s="136">
        <v>0</v>
      </c>
      <c r="K16" s="136">
        <v>0</v>
      </c>
      <c r="L16" s="136">
        <v>0</v>
      </c>
      <c r="M16" s="96">
        <v>0</v>
      </c>
      <c r="N16" s="136">
        <v>0</v>
      </c>
      <c r="O16" s="137"/>
      <c r="P16" s="137"/>
      <c r="Q16" s="136"/>
      <c r="R16" s="137"/>
      <c r="S16" s="138"/>
      <c r="T16" s="9">
        <f t="shared" si="0"/>
        <v>20</v>
      </c>
      <c r="U16" s="26">
        <v>20</v>
      </c>
      <c r="V16" s="26">
        <v>0</v>
      </c>
      <c r="W16" s="26">
        <v>0</v>
      </c>
      <c r="X16" s="136">
        <v>0</v>
      </c>
      <c r="Y16" s="96">
        <v>0</v>
      </c>
      <c r="Z16" s="158">
        <v>0</v>
      </c>
      <c r="AA16" s="258"/>
      <c r="AB16" s="258"/>
      <c r="AC16" s="258"/>
      <c r="AD16" s="258"/>
      <c r="AE16" s="259"/>
    </row>
    <row r="17" spans="1:31" ht="37.5">
      <c r="A17" s="139"/>
      <c r="B17" s="140"/>
      <c r="C17" s="141" t="s">
        <v>49</v>
      </c>
      <c r="D17" s="142"/>
      <c r="E17" s="142"/>
      <c r="F17" s="143"/>
      <c r="G17" s="144"/>
      <c r="H17" s="145"/>
      <c r="I17" s="146">
        <v>0</v>
      </c>
      <c r="J17" s="146">
        <f>36823.6+8673.1+51029</f>
        <v>96525.7</v>
      </c>
      <c r="K17" s="146">
        <f>87688.5-51029-62.9</f>
        <v>36596.6</v>
      </c>
      <c r="L17" s="146">
        <v>0</v>
      </c>
      <c r="M17" s="146">
        <f>15258.4+17940+28136.2</f>
        <v>61334.600000000006</v>
      </c>
      <c r="N17" s="146">
        <v>0</v>
      </c>
      <c r="O17" s="147"/>
      <c r="P17" s="147"/>
      <c r="Q17" s="146"/>
      <c r="R17" s="147"/>
      <c r="S17" s="148"/>
      <c r="T17" s="10">
        <f t="shared" si="0"/>
        <v>194456.9</v>
      </c>
      <c r="U17" s="27">
        <v>0</v>
      </c>
      <c r="V17" s="27">
        <f>36823.6+8673.1+51029</f>
        <v>96525.7</v>
      </c>
      <c r="W17" s="27">
        <f>87688.5-51029-62.9</f>
        <v>36596.6</v>
      </c>
      <c r="X17" s="146">
        <v>0</v>
      </c>
      <c r="Y17" s="146">
        <f>15258.4+17940+28136.2</f>
        <v>61334.600000000006</v>
      </c>
      <c r="Z17" s="159">
        <v>0</v>
      </c>
      <c r="AA17" s="260"/>
      <c r="AB17" s="260"/>
      <c r="AC17" s="260"/>
      <c r="AD17" s="260"/>
      <c r="AE17" s="261"/>
    </row>
    <row r="18" spans="1:31" ht="56.25">
      <c r="A18" s="139"/>
      <c r="B18" s="140"/>
      <c r="C18" s="149" t="s">
        <v>35</v>
      </c>
      <c r="D18" s="142"/>
      <c r="E18" s="142"/>
      <c r="F18" s="143"/>
      <c r="G18" s="144"/>
      <c r="H18" s="145"/>
      <c r="I18" s="146">
        <v>0</v>
      </c>
      <c r="J18" s="146">
        <v>131</v>
      </c>
      <c r="K18" s="146">
        <v>0</v>
      </c>
      <c r="L18" s="146">
        <v>0</v>
      </c>
      <c r="M18" s="146">
        <v>0</v>
      </c>
      <c r="N18" s="146">
        <v>0</v>
      </c>
      <c r="O18" s="147"/>
      <c r="P18" s="147"/>
      <c r="Q18" s="146"/>
      <c r="R18" s="147"/>
      <c r="S18" s="148"/>
      <c r="T18" s="10">
        <f t="shared" si="0"/>
        <v>131</v>
      </c>
      <c r="U18" s="27">
        <v>0</v>
      </c>
      <c r="V18" s="27">
        <v>131</v>
      </c>
      <c r="W18" s="27">
        <v>0</v>
      </c>
      <c r="X18" s="146">
        <v>0</v>
      </c>
      <c r="Y18" s="146">
        <v>0</v>
      </c>
      <c r="Z18" s="159">
        <v>0</v>
      </c>
      <c r="AA18" s="260"/>
      <c r="AB18" s="260"/>
      <c r="AC18" s="260"/>
      <c r="AD18" s="260"/>
      <c r="AE18" s="261"/>
    </row>
    <row r="19" spans="1:31" ht="18.75">
      <c r="A19" s="139"/>
      <c r="B19" s="140"/>
      <c r="C19" s="149" t="s">
        <v>67</v>
      </c>
      <c r="D19" s="142"/>
      <c r="E19" s="142"/>
      <c r="F19" s="143"/>
      <c r="G19" s="144"/>
      <c r="H19" s="145"/>
      <c r="I19" s="146">
        <v>0</v>
      </c>
      <c r="J19" s="146">
        <v>73.6</v>
      </c>
      <c r="K19" s="146">
        <v>192.7</v>
      </c>
      <c r="L19" s="146">
        <v>0</v>
      </c>
      <c r="M19" s="146">
        <f>43+52+52.9</f>
        <v>147.9</v>
      </c>
      <c r="N19" s="146">
        <v>0</v>
      </c>
      <c r="O19" s="147"/>
      <c r="P19" s="147"/>
      <c r="Q19" s="146"/>
      <c r="R19" s="147"/>
      <c r="S19" s="148"/>
      <c r="T19" s="10">
        <f t="shared" si="0"/>
        <v>414.19999999999993</v>
      </c>
      <c r="U19" s="27">
        <v>0</v>
      </c>
      <c r="V19" s="27">
        <v>73.6</v>
      </c>
      <c r="W19" s="27">
        <v>192.7</v>
      </c>
      <c r="X19" s="146">
        <v>0</v>
      </c>
      <c r="Y19" s="146">
        <f>43+52+52.9</f>
        <v>147.9</v>
      </c>
      <c r="Z19" s="159">
        <v>0</v>
      </c>
      <c r="AA19" s="260"/>
      <c r="AB19" s="260"/>
      <c r="AC19" s="260"/>
      <c r="AD19" s="260"/>
      <c r="AE19" s="261"/>
    </row>
    <row r="20" spans="1:31" ht="43.5" customHeight="1" thickBot="1">
      <c r="A20" s="99"/>
      <c r="B20" s="100"/>
      <c r="C20" s="101" t="s">
        <v>50</v>
      </c>
      <c r="D20" s="102"/>
      <c r="E20" s="102"/>
      <c r="F20" s="150"/>
      <c r="G20" s="151"/>
      <c r="H20" s="103"/>
      <c r="I20" s="104">
        <v>0</v>
      </c>
      <c r="J20" s="104">
        <v>95.91</v>
      </c>
      <c r="K20" s="104">
        <v>250.9</v>
      </c>
      <c r="L20" s="104">
        <v>0</v>
      </c>
      <c r="M20" s="104">
        <f>233.2+273+149.6</f>
        <v>655.8</v>
      </c>
      <c r="N20" s="104">
        <v>0</v>
      </c>
      <c r="O20" s="105"/>
      <c r="P20" s="105"/>
      <c r="Q20" s="104"/>
      <c r="R20" s="105"/>
      <c r="S20" s="106"/>
      <c r="T20" s="5">
        <f t="shared" si="0"/>
        <v>1002.6099999999999</v>
      </c>
      <c r="U20" s="28">
        <v>0</v>
      </c>
      <c r="V20" s="28">
        <v>95.91</v>
      </c>
      <c r="W20" s="28">
        <v>250.9</v>
      </c>
      <c r="X20" s="104">
        <v>0</v>
      </c>
      <c r="Y20" s="104">
        <f>233.2+273+149.6</f>
        <v>655.8</v>
      </c>
      <c r="Z20" s="262">
        <v>0</v>
      </c>
      <c r="AA20" s="251"/>
      <c r="AB20" s="251"/>
      <c r="AC20" s="251"/>
      <c r="AD20" s="251"/>
      <c r="AE20" s="252"/>
    </row>
    <row r="21" spans="1:31" ht="43.5" customHeight="1">
      <c r="A21" s="152" t="s">
        <v>27</v>
      </c>
      <c r="B21" s="153" t="s">
        <v>126</v>
      </c>
      <c r="C21" s="131" t="s">
        <v>8</v>
      </c>
      <c r="D21" s="154" t="s">
        <v>5</v>
      </c>
      <c r="E21" s="154" t="s">
        <v>5</v>
      </c>
      <c r="F21" s="155"/>
      <c r="G21" s="156" t="s">
        <v>127</v>
      </c>
      <c r="H21" s="157">
        <f>SUM(I21:S23)</f>
        <v>8037.8</v>
      </c>
      <c r="I21" s="136">
        <v>0</v>
      </c>
      <c r="J21" s="136">
        <v>0</v>
      </c>
      <c r="K21" s="136">
        <v>0</v>
      </c>
      <c r="L21" s="136">
        <v>0</v>
      </c>
      <c r="M21" s="136">
        <f>10393.4-220.8-2169</f>
        <v>8003.6</v>
      </c>
      <c r="N21" s="158">
        <v>0</v>
      </c>
      <c r="O21" s="137"/>
      <c r="P21" s="137"/>
      <c r="Q21" s="136"/>
      <c r="R21" s="137"/>
      <c r="S21" s="138"/>
      <c r="T21" s="9">
        <f t="shared" si="0"/>
        <v>8003.6</v>
      </c>
      <c r="U21" s="26">
        <v>0</v>
      </c>
      <c r="V21" s="26">
        <v>0</v>
      </c>
      <c r="W21" s="26">
        <v>0</v>
      </c>
      <c r="X21" s="136">
        <v>0</v>
      </c>
      <c r="Y21" s="136">
        <f>10393.4-220.8-2169</f>
        <v>8003.6</v>
      </c>
      <c r="Z21" s="158">
        <v>0</v>
      </c>
      <c r="AA21" s="258"/>
      <c r="AB21" s="258"/>
      <c r="AC21" s="258"/>
      <c r="AD21" s="258"/>
      <c r="AE21" s="259"/>
    </row>
    <row r="22" spans="1:31" ht="41.25" customHeight="1">
      <c r="A22" s="152"/>
      <c r="B22" s="153"/>
      <c r="C22" s="141" t="s">
        <v>50</v>
      </c>
      <c r="D22" s="154"/>
      <c r="E22" s="154"/>
      <c r="F22" s="155"/>
      <c r="G22" s="134"/>
      <c r="H22" s="157"/>
      <c r="I22" s="146">
        <v>0</v>
      </c>
      <c r="J22" s="146">
        <v>0</v>
      </c>
      <c r="K22" s="146">
        <v>0</v>
      </c>
      <c r="L22" s="146">
        <v>0</v>
      </c>
      <c r="M22" s="146">
        <f>48.6-4.7-9.7</f>
        <v>34.2</v>
      </c>
      <c r="N22" s="159">
        <v>0</v>
      </c>
      <c r="O22" s="147"/>
      <c r="P22" s="147"/>
      <c r="Q22" s="146"/>
      <c r="R22" s="147"/>
      <c r="S22" s="148"/>
      <c r="T22" s="9">
        <f t="shared" si="0"/>
        <v>34.2</v>
      </c>
      <c r="U22" s="27">
        <v>0</v>
      </c>
      <c r="V22" s="27">
        <v>0</v>
      </c>
      <c r="W22" s="27">
        <v>0</v>
      </c>
      <c r="X22" s="146">
        <v>0</v>
      </c>
      <c r="Y22" s="146">
        <f>48.6-4.7-9.7</f>
        <v>34.2</v>
      </c>
      <c r="Z22" s="159">
        <v>0</v>
      </c>
      <c r="AA22" s="260"/>
      <c r="AB22" s="260"/>
      <c r="AC22" s="260"/>
      <c r="AD22" s="260"/>
      <c r="AE22" s="261"/>
    </row>
    <row r="23" spans="1:31" ht="36.75" customHeight="1" thickBot="1">
      <c r="A23" s="112"/>
      <c r="B23" s="113"/>
      <c r="C23" s="122" t="s">
        <v>32</v>
      </c>
      <c r="D23" s="115"/>
      <c r="E23" s="115"/>
      <c r="F23" s="116"/>
      <c r="G23" s="122" t="s">
        <v>74</v>
      </c>
      <c r="H23" s="160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05"/>
      <c r="P23" s="105"/>
      <c r="Q23" s="104"/>
      <c r="R23" s="105"/>
      <c r="S23" s="106"/>
      <c r="T23" s="6">
        <f t="shared" si="0"/>
        <v>3291.4</v>
      </c>
      <c r="U23" s="30">
        <v>0</v>
      </c>
      <c r="V23" s="30">
        <v>0</v>
      </c>
      <c r="W23" s="30">
        <v>2000</v>
      </c>
      <c r="X23" s="117">
        <v>1291.4</v>
      </c>
      <c r="Y23" s="117">
        <v>0</v>
      </c>
      <c r="Z23" s="166">
        <v>0</v>
      </c>
      <c r="AA23" s="251"/>
      <c r="AB23" s="251"/>
      <c r="AC23" s="251"/>
      <c r="AD23" s="251"/>
      <c r="AE23" s="252"/>
    </row>
    <row r="24" spans="1:31" ht="56.25" customHeight="1">
      <c r="A24" s="152" t="s">
        <v>48</v>
      </c>
      <c r="B24" s="153" t="s">
        <v>293</v>
      </c>
      <c r="C24" s="131" t="s">
        <v>32</v>
      </c>
      <c r="D24" s="154" t="s">
        <v>5</v>
      </c>
      <c r="E24" s="154" t="s">
        <v>5</v>
      </c>
      <c r="F24" s="154"/>
      <c r="G24" s="154">
        <v>2020</v>
      </c>
      <c r="H24" s="157">
        <f>SUM(I24:S26)</f>
        <v>968.1999999999999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7"/>
      <c r="P24" s="137"/>
      <c r="Q24" s="136"/>
      <c r="R24" s="137"/>
      <c r="S24" s="138"/>
      <c r="T24" s="9">
        <f t="shared" si="0"/>
        <v>2078.5</v>
      </c>
      <c r="U24" s="26">
        <v>0</v>
      </c>
      <c r="V24" s="26">
        <v>0</v>
      </c>
      <c r="W24" s="26">
        <f>4293.8-2215.3</f>
        <v>2078.5</v>
      </c>
      <c r="X24" s="136">
        <v>0</v>
      </c>
      <c r="Y24" s="136">
        <v>0</v>
      </c>
      <c r="Z24" s="158">
        <v>0</v>
      </c>
      <c r="AA24" s="258"/>
      <c r="AB24" s="258"/>
      <c r="AC24" s="258"/>
      <c r="AD24" s="258"/>
      <c r="AE24" s="259"/>
    </row>
    <row r="25" spans="1:31" ht="56.25" customHeight="1">
      <c r="A25" s="152"/>
      <c r="B25" s="153"/>
      <c r="C25" s="161" t="s">
        <v>50</v>
      </c>
      <c r="D25" s="154"/>
      <c r="E25" s="154"/>
      <c r="F25" s="154"/>
      <c r="G25" s="154"/>
      <c r="H25" s="157"/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20.3</v>
      </c>
      <c r="O25" s="163"/>
      <c r="P25" s="163"/>
      <c r="Q25" s="162"/>
      <c r="R25" s="163"/>
      <c r="S25" s="164"/>
      <c r="T25" s="9">
        <f t="shared" si="0"/>
        <v>20.3</v>
      </c>
      <c r="U25" s="29">
        <v>0</v>
      </c>
      <c r="V25" s="29">
        <v>0</v>
      </c>
      <c r="W25" s="29">
        <v>0</v>
      </c>
      <c r="X25" s="162">
        <v>0</v>
      </c>
      <c r="Y25" s="162">
        <v>0</v>
      </c>
      <c r="Z25" s="162">
        <v>20.3</v>
      </c>
      <c r="AA25" s="263"/>
      <c r="AB25" s="263"/>
      <c r="AC25" s="263"/>
      <c r="AD25" s="263"/>
      <c r="AE25" s="264"/>
    </row>
    <row r="26" spans="1:31" ht="38.25" thickBot="1">
      <c r="A26" s="112"/>
      <c r="B26" s="113"/>
      <c r="C26" s="101" t="s">
        <v>8</v>
      </c>
      <c r="D26" s="115"/>
      <c r="E26" s="115"/>
      <c r="F26" s="115"/>
      <c r="G26" s="115"/>
      <c r="H26" s="160"/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947.9</v>
      </c>
      <c r="O26" s="105"/>
      <c r="P26" s="105"/>
      <c r="Q26" s="104"/>
      <c r="R26" s="105"/>
      <c r="S26" s="106"/>
      <c r="T26" s="5">
        <f t="shared" si="0"/>
        <v>947.9</v>
      </c>
      <c r="U26" s="28">
        <v>0</v>
      </c>
      <c r="V26" s="28">
        <v>0</v>
      </c>
      <c r="W26" s="28">
        <v>0</v>
      </c>
      <c r="X26" s="104">
        <v>0</v>
      </c>
      <c r="Y26" s="104">
        <v>0</v>
      </c>
      <c r="Z26" s="104">
        <v>947.9</v>
      </c>
      <c r="AA26" s="251"/>
      <c r="AB26" s="251"/>
      <c r="AC26" s="251"/>
      <c r="AD26" s="251"/>
      <c r="AE26" s="252"/>
    </row>
    <row r="27" spans="1:31" ht="37.5">
      <c r="A27" s="129" t="s">
        <v>28</v>
      </c>
      <c r="B27" s="130" t="s">
        <v>122</v>
      </c>
      <c r="C27" s="165" t="s">
        <v>8</v>
      </c>
      <c r="D27" s="132" t="s">
        <v>5</v>
      </c>
      <c r="E27" s="132" t="s">
        <v>5</v>
      </c>
      <c r="F27" s="132"/>
      <c r="G27" s="132">
        <v>2020</v>
      </c>
      <c r="H27" s="135">
        <f>SUM(I27:S28)</f>
        <v>-0.040000000002692104</v>
      </c>
      <c r="I27" s="136">
        <v>0</v>
      </c>
      <c r="J27" s="136">
        <v>0</v>
      </c>
      <c r="K27" s="136">
        <f>22034.1-563.04-8434.6-13036.5</f>
        <v>-0.040000000002692104</v>
      </c>
      <c r="L27" s="136">
        <v>0</v>
      </c>
      <c r="M27" s="96">
        <f>4322.5-4322.5</f>
        <v>0</v>
      </c>
      <c r="N27" s="136">
        <v>0</v>
      </c>
      <c r="O27" s="137"/>
      <c r="P27" s="137"/>
      <c r="Q27" s="136"/>
      <c r="R27" s="137"/>
      <c r="S27" s="138"/>
      <c r="T27" s="9">
        <f>U27+V27+W27+X27+Y27+Z27</f>
        <v>-0.040000000002692104</v>
      </c>
      <c r="U27" s="26">
        <v>0</v>
      </c>
      <c r="V27" s="26">
        <v>0</v>
      </c>
      <c r="W27" s="26">
        <f>22034.1-563.04-8434.6-13036.5</f>
        <v>-0.040000000002692104</v>
      </c>
      <c r="X27" s="136">
        <v>0</v>
      </c>
      <c r="Y27" s="96">
        <f>4322.5-4322.5</f>
        <v>0</v>
      </c>
      <c r="Z27" s="158">
        <v>0</v>
      </c>
      <c r="AA27" s="258"/>
      <c r="AB27" s="258"/>
      <c r="AC27" s="258"/>
      <c r="AD27" s="258"/>
      <c r="AE27" s="259"/>
    </row>
    <row r="28" spans="1:31" ht="39" customHeight="1" thickBot="1">
      <c r="A28" s="99"/>
      <c r="B28" s="100"/>
      <c r="C28" s="101" t="s">
        <v>32</v>
      </c>
      <c r="D28" s="102"/>
      <c r="E28" s="102"/>
      <c r="F28" s="102"/>
      <c r="G28" s="102"/>
      <c r="H28" s="103"/>
      <c r="I28" s="104">
        <v>0</v>
      </c>
      <c r="J28" s="104">
        <v>0</v>
      </c>
      <c r="K28" s="104">
        <v>0</v>
      </c>
      <c r="L28" s="104">
        <v>0</v>
      </c>
      <c r="M28" s="104">
        <f>391.2-391.2</f>
        <v>0</v>
      </c>
      <c r="N28" s="104">
        <v>0</v>
      </c>
      <c r="O28" s="105"/>
      <c r="P28" s="105"/>
      <c r="Q28" s="104"/>
      <c r="R28" s="105"/>
      <c r="S28" s="106"/>
      <c r="T28" s="5">
        <f>U28+V28+W28+X28+Y28+Z28</f>
        <v>889.6999999999999</v>
      </c>
      <c r="U28" s="28">
        <v>0</v>
      </c>
      <c r="V28" s="28">
        <v>0</v>
      </c>
      <c r="W28" s="28">
        <f>951.4-61.7</f>
        <v>889.6999999999999</v>
      </c>
      <c r="X28" s="104">
        <v>0</v>
      </c>
      <c r="Y28" s="104">
        <f>391.2-391.2</f>
        <v>0</v>
      </c>
      <c r="Z28" s="262">
        <v>0</v>
      </c>
      <c r="AA28" s="251"/>
      <c r="AB28" s="251"/>
      <c r="AC28" s="251"/>
      <c r="AD28" s="251"/>
      <c r="AE28" s="252"/>
    </row>
    <row r="29" spans="1:31" s="37" customFormat="1" ht="51.75" customHeight="1">
      <c r="A29" s="152" t="s">
        <v>208</v>
      </c>
      <c r="B29" s="153" t="s">
        <v>305</v>
      </c>
      <c r="C29" s="131" t="s">
        <v>32</v>
      </c>
      <c r="D29" s="154" t="s">
        <v>5</v>
      </c>
      <c r="E29" s="154" t="s">
        <v>5</v>
      </c>
      <c r="F29" s="131"/>
      <c r="G29" s="131" t="s">
        <v>73</v>
      </c>
      <c r="H29" s="136">
        <f>SUM(I29:S29)</f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7"/>
      <c r="P29" s="137"/>
      <c r="Q29" s="136"/>
      <c r="R29" s="137"/>
      <c r="S29" s="138"/>
      <c r="T29" s="46">
        <f>U29+V29+W29+X29+Y29+Z29</f>
        <v>730</v>
      </c>
      <c r="U29" s="45">
        <v>0</v>
      </c>
      <c r="V29" s="45">
        <v>0</v>
      </c>
      <c r="W29" s="45">
        <f>1000-270</f>
        <v>730</v>
      </c>
      <c r="X29" s="136">
        <v>0</v>
      </c>
      <c r="Y29" s="136">
        <v>0</v>
      </c>
      <c r="Z29" s="158">
        <v>0</v>
      </c>
      <c r="AA29" s="258"/>
      <c r="AB29" s="258"/>
      <c r="AC29" s="258"/>
      <c r="AD29" s="258"/>
      <c r="AE29" s="259"/>
    </row>
    <row r="30" spans="1:31" s="37" customFormat="1" ht="55.5" customHeight="1" thickBot="1">
      <c r="A30" s="112"/>
      <c r="B30" s="113"/>
      <c r="C30" s="122" t="s">
        <v>118</v>
      </c>
      <c r="D30" s="115"/>
      <c r="E30" s="115"/>
      <c r="F30" s="122" t="s">
        <v>117</v>
      </c>
      <c r="G30" s="122">
        <v>2021</v>
      </c>
      <c r="H30" s="117">
        <f>SUM(I30:S30)</f>
        <v>22073.1</v>
      </c>
      <c r="I30" s="117">
        <v>0</v>
      </c>
      <c r="J30" s="117">
        <v>0</v>
      </c>
      <c r="K30" s="117">
        <v>0</v>
      </c>
      <c r="L30" s="117">
        <v>0</v>
      </c>
      <c r="M30" s="117">
        <f>21806.7-4763.1-7274.3-7891.2-1148.1-730</f>
        <v>0</v>
      </c>
      <c r="N30" s="166">
        <f>12980.7+730</f>
        <v>13710.7</v>
      </c>
      <c r="O30" s="166">
        <v>8362.4</v>
      </c>
      <c r="P30" s="105"/>
      <c r="Q30" s="104"/>
      <c r="R30" s="105"/>
      <c r="S30" s="106"/>
      <c r="T30" s="39">
        <f t="shared" si="0"/>
        <v>13710.7</v>
      </c>
      <c r="U30" s="38">
        <v>0</v>
      </c>
      <c r="V30" s="38">
        <v>0</v>
      </c>
      <c r="W30" s="38">
        <v>0</v>
      </c>
      <c r="X30" s="117">
        <v>0</v>
      </c>
      <c r="Y30" s="117">
        <f>21806.7-4763.1-7274.3-7891.2-1148.1-730</f>
        <v>0</v>
      </c>
      <c r="Z30" s="166">
        <f>12980.7+730</f>
        <v>13710.7</v>
      </c>
      <c r="AA30" s="166">
        <v>8362.4</v>
      </c>
      <c r="AB30" s="251"/>
      <c r="AC30" s="251"/>
      <c r="AD30" s="251"/>
      <c r="AE30" s="252"/>
    </row>
    <row r="31" spans="1:31" ht="18.75">
      <c r="A31" s="129" t="s">
        <v>209</v>
      </c>
      <c r="B31" s="56" t="s">
        <v>19</v>
      </c>
      <c r="C31" s="131" t="s">
        <v>32</v>
      </c>
      <c r="D31" s="132" t="s">
        <v>5</v>
      </c>
      <c r="E31" s="132" t="s">
        <v>5</v>
      </c>
      <c r="F31" s="133" t="s">
        <v>17</v>
      </c>
      <c r="G31" s="134" t="s">
        <v>18</v>
      </c>
      <c r="H31" s="135">
        <v>54706.99</v>
      </c>
      <c r="I31" s="136">
        <v>20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7"/>
      <c r="P31" s="137"/>
      <c r="Q31" s="136"/>
      <c r="R31" s="137"/>
      <c r="S31" s="138"/>
      <c r="T31" s="9">
        <f t="shared" si="0"/>
        <v>20</v>
      </c>
      <c r="U31" s="26">
        <v>20</v>
      </c>
      <c r="V31" s="26">
        <v>0</v>
      </c>
      <c r="W31" s="26">
        <v>0</v>
      </c>
      <c r="X31" s="136">
        <v>0</v>
      </c>
      <c r="Y31" s="136">
        <v>0</v>
      </c>
      <c r="Z31" s="158">
        <v>0</v>
      </c>
      <c r="AA31" s="258"/>
      <c r="AB31" s="258"/>
      <c r="AC31" s="258"/>
      <c r="AD31" s="258"/>
      <c r="AE31" s="259"/>
    </row>
    <row r="32" spans="1:31" ht="37.5">
      <c r="A32" s="139"/>
      <c r="B32" s="57"/>
      <c r="C32" s="141" t="s">
        <v>8</v>
      </c>
      <c r="D32" s="142"/>
      <c r="E32" s="142"/>
      <c r="F32" s="143"/>
      <c r="G32" s="144"/>
      <c r="H32" s="145"/>
      <c r="I32" s="146">
        <v>0</v>
      </c>
      <c r="J32" s="146">
        <f>53879.7-302.8-521.1239-0.548</f>
        <v>53055.22809999999</v>
      </c>
      <c r="K32" s="146">
        <v>0</v>
      </c>
      <c r="L32" s="146">
        <v>0</v>
      </c>
      <c r="M32" s="146">
        <v>0</v>
      </c>
      <c r="N32" s="146">
        <v>0</v>
      </c>
      <c r="O32" s="147"/>
      <c r="P32" s="147"/>
      <c r="Q32" s="146"/>
      <c r="R32" s="147"/>
      <c r="S32" s="148"/>
      <c r="T32" s="10">
        <f t="shared" si="0"/>
        <v>53055.22809999999</v>
      </c>
      <c r="U32" s="27">
        <v>0</v>
      </c>
      <c r="V32" s="27">
        <f>53879.7-302.8-521.1239-0.548</f>
        <v>53055.22809999999</v>
      </c>
      <c r="W32" s="27">
        <v>0</v>
      </c>
      <c r="X32" s="146">
        <v>0</v>
      </c>
      <c r="Y32" s="146">
        <v>0</v>
      </c>
      <c r="Z32" s="159">
        <v>0</v>
      </c>
      <c r="AA32" s="260"/>
      <c r="AB32" s="260"/>
      <c r="AC32" s="260"/>
      <c r="AD32" s="260"/>
      <c r="AE32" s="261"/>
    </row>
    <row r="33" spans="1:31" ht="18.75">
      <c r="A33" s="139"/>
      <c r="B33" s="57"/>
      <c r="C33" s="141" t="s">
        <v>50</v>
      </c>
      <c r="D33" s="142"/>
      <c r="E33" s="142"/>
      <c r="F33" s="143"/>
      <c r="G33" s="144"/>
      <c r="H33" s="145"/>
      <c r="I33" s="146">
        <v>0</v>
      </c>
      <c r="J33" s="146">
        <f>484.9-272.678</f>
        <v>212.22199999999998</v>
      </c>
      <c r="K33" s="146">
        <v>0</v>
      </c>
      <c r="L33" s="146">
        <v>0</v>
      </c>
      <c r="M33" s="146">
        <v>0</v>
      </c>
      <c r="N33" s="146">
        <v>0</v>
      </c>
      <c r="O33" s="147"/>
      <c r="P33" s="147"/>
      <c r="Q33" s="146"/>
      <c r="R33" s="147"/>
      <c r="S33" s="148"/>
      <c r="T33" s="10">
        <f t="shared" si="0"/>
        <v>212.2</v>
      </c>
      <c r="U33" s="27">
        <v>0</v>
      </c>
      <c r="V33" s="27">
        <f>484.9-272.7</f>
        <v>212.2</v>
      </c>
      <c r="W33" s="27">
        <v>0</v>
      </c>
      <c r="X33" s="146">
        <v>0</v>
      </c>
      <c r="Y33" s="146">
        <v>0</v>
      </c>
      <c r="Z33" s="159">
        <v>0</v>
      </c>
      <c r="AA33" s="260"/>
      <c r="AB33" s="260"/>
      <c r="AC33" s="260"/>
      <c r="AD33" s="260"/>
      <c r="AE33" s="261"/>
    </row>
    <row r="34" spans="1:31" ht="19.5" thickBot="1">
      <c r="A34" s="99"/>
      <c r="B34" s="58"/>
      <c r="C34" s="167" t="s">
        <v>67</v>
      </c>
      <c r="D34" s="102"/>
      <c r="E34" s="102"/>
      <c r="F34" s="150"/>
      <c r="G34" s="151"/>
      <c r="H34" s="103"/>
      <c r="I34" s="104">
        <v>0</v>
      </c>
      <c r="J34" s="104">
        <v>109</v>
      </c>
      <c r="K34" s="104">
        <v>0</v>
      </c>
      <c r="L34" s="104">
        <v>0</v>
      </c>
      <c r="M34" s="104">
        <v>0</v>
      </c>
      <c r="N34" s="104">
        <v>0</v>
      </c>
      <c r="O34" s="105"/>
      <c r="P34" s="105"/>
      <c r="Q34" s="104"/>
      <c r="R34" s="105"/>
      <c r="S34" s="106"/>
      <c r="T34" s="5">
        <f t="shared" si="0"/>
        <v>109</v>
      </c>
      <c r="U34" s="28">
        <v>0</v>
      </c>
      <c r="V34" s="28">
        <v>109</v>
      </c>
      <c r="W34" s="28">
        <v>0</v>
      </c>
      <c r="X34" s="104">
        <v>0</v>
      </c>
      <c r="Y34" s="104">
        <v>0</v>
      </c>
      <c r="Z34" s="262">
        <v>0</v>
      </c>
      <c r="AA34" s="251"/>
      <c r="AB34" s="251"/>
      <c r="AC34" s="251"/>
      <c r="AD34" s="251"/>
      <c r="AE34" s="252"/>
    </row>
    <row r="35" spans="1:31" ht="75.75" thickBot="1">
      <c r="A35" s="120" t="s">
        <v>57</v>
      </c>
      <c r="B35" s="168" t="s">
        <v>307</v>
      </c>
      <c r="C35" s="114" t="s">
        <v>124</v>
      </c>
      <c r="D35" s="122" t="s">
        <v>5</v>
      </c>
      <c r="E35" s="122" t="s">
        <v>5</v>
      </c>
      <c r="F35" s="169"/>
      <c r="G35" s="114" t="s">
        <v>74</v>
      </c>
      <c r="H35" s="117">
        <f>SUM(I35:S35)</f>
        <v>75</v>
      </c>
      <c r="I35" s="117">
        <v>0</v>
      </c>
      <c r="J35" s="117">
        <v>0</v>
      </c>
      <c r="K35" s="117">
        <v>75</v>
      </c>
      <c r="L35" s="117">
        <v>0</v>
      </c>
      <c r="M35" s="117">
        <v>0</v>
      </c>
      <c r="N35" s="117">
        <v>0</v>
      </c>
      <c r="O35" s="118"/>
      <c r="P35" s="118"/>
      <c r="Q35" s="117"/>
      <c r="R35" s="118"/>
      <c r="S35" s="119"/>
      <c r="T35" s="6">
        <f>U35+V35+W35+X35+Y35+Z35</f>
        <v>75</v>
      </c>
      <c r="U35" s="30">
        <v>0</v>
      </c>
      <c r="V35" s="30">
        <v>0</v>
      </c>
      <c r="W35" s="30">
        <v>0</v>
      </c>
      <c r="X35" s="117">
        <v>75</v>
      </c>
      <c r="Y35" s="117">
        <v>0</v>
      </c>
      <c r="Z35" s="166">
        <v>0</v>
      </c>
      <c r="AA35" s="254"/>
      <c r="AB35" s="254"/>
      <c r="AC35" s="254"/>
      <c r="AD35" s="254"/>
      <c r="AE35" s="255"/>
    </row>
    <row r="36" spans="1:31" s="37" customFormat="1" ht="57" thickBot="1">
      <c r="A36" s="123" t="s">
        <v>58</v>
      </c>
      <c r="B36" s="170" t="s">
        <v>200</v>
      </c>
      <c r="C36" s="171" t="s">
        <v>201</v>
      </c>
      <c r="D36" s="122" t="s">
        <v>56</v>
      </c>
      <c r="E36" s="122" t="s">
        <v>56</v>
      </c>
      <c r="F36" s="172" t="s">
        <v>74</v>
      </c>
      <c r="G36" s="171" t="s">
        <v>74</v>
      </c>
      <c r="H36" s="117">
        <f>SUM(I36:S36)</f>
        <v>33760.8</v>
      </c>
      <c r="I36" s="126">
        <v>0</v>
      </c>
      <c r="J36" s="126">
        <v>0</v>
      </c>
      <c r="K36" s="126">
        <v>0</v>
      </c>
      <c r="L36" s="126">
        <v>0</v>
      </c>
      <c r="M36" s="126">
        <v>0</v>
      </c>
      <c r="N36" s="126"/>
      <c r="O36" s="127">
        <v>33760.8</v>
      </c>
      <c r="P36" s="127"/>
      <c r="Q36" s="126"/>
      <c r="R36" s="127"/>
      <c r="S36" s="128"/>
      <c r="T36" s="44">
        <f>SUM(U36:AE36)</f>
        <v>0</v>
      </c>
      <c r="U36" s="43"/>
      <c r="V36" s="43"/>
      <c r="W36" s="43"/>
      <c r="X36" s="126"/>
      <c r="Y36" s="126"/>
      <c r="Z36" s="228"/>
      <c r="AA36" s="256"/>
      <c r="AB36" s="256"/>
      <c r="AC36" s="256"/>
      <c r="AD36" s="256"/>
      <c r="AE36" s="257"/>
    </row>
    <row r="37" spans="1:31" s="13" customFormat="1" ht="75">
      <c r="A37" s="173" t="s">
        <v>280</v>
      </c>
      <c r="B37" s="174" t="s">
        <v>12</v>
      </c>
      <c r="C37" s="175"/>
      <c r="D37" s="176"/>
      <c r="E37" s="176"/>
      <c r="F37" s="84"/>
      <c r="G37" s="175"/>
      <c r="H37" s="177"/>
      <c r="I37" s="177"/>
      <c r="J37" s="177"/>
      <c r="K37" s="177"/>
      <c r="L37" s="177"/>
      <c r="M37" s="177"/>
      <c r="N37" s="177"/>
      <c r="O37" s="178"/>
      <c r="P37" s="178"/>
      <c r="Q37" s="177"/>
      <c r="R37" s="178"/>
      <c r="S37" s="179"/>
      <c r="T37" s="12">
        <f>SUM(U37:AE37)</f>
        <v>0</v>
      </c>
      <c r="U37" s="11"/>
      <c r="V37" s="11"/>
      <c r="W37" s="11"/>
      <c r="X37" s="177"/>
      <c r="Y37" s="177"/>
      <c r="Z37" s="265"/>
      <c r="AA37" s="266"/>
      <c r="AB37" s="266"/>
      <c r="AC37" s="266"/>
      <c r="AD37" s="266"/>
      <c r="AE37" s="267"/>
    </row>
    <row r="38" spans="1:31" ht="56.25">
      <c r="A38" s="180" t="s">
        <v>281</v>
      </c>
      <c r="B38" s="181" t="s">
        <v>20</v>
      </c>
      <c r="C38" s="149" t="s">
        <v>10</v>
      </c>
      <c r="D38" s="141" t="s">
        <v>5</v>
      </c>
      <c r="E38" s="141" t="s">
        <v>5</v>
      </c>
      <c r="F38" s="182"/>
      <c r="G38" s="149" t="s">
        <v>74</v>
      </c>
      <c r="H38" s="146">
        <v>6077.48</v>
      </c>
      <c r="I38" s="146">
        <v>0</v>
      </c>
      <c r="J38" s="146">
        <v>0</v>
      </c>
      <c r="K38" s="146">
        <f>2000-491.2</f>
        <v>1508.8</v>
      </c>
      <c r="L38" s="146">
        <v>0</v>
      </c>
      <c r="M38" s="146">
        <v>0</v>
      </c>
      <c r="N38" s="146">
        <v>0</v>
      </c>
      <c r="O38" s="147"/>
      <c r="P38" s="147"/>
      <c r="Q38" s="146"/>
      <c r="R38" s="147"/>
      <c r="S38" s="148"/>
      <c r="T38" s="10">
        <f>SUM(U38:AE38)</f>
        <v>1759.8999999999999</v>
      </c>
      <c r="U38" s="27">
        <v>251.1</v>
      </c>
      <c r="V38" s="27">
        <v>0</v>
      </c>
      <c r="W38" s="27">
        <f>2000-491.2</f>
        <v>1508.8</v>
      </c>
      <c r="X38" s="146">
        <v>0</v>
      </c>
      <c r="Y38" s="146">
        <v>0</v>
      </c>
      <c r="Z38" s="159">
        <v>0</v>
      </c>
      <c r="AA38" s="260"/>
      <c r="AB38" s="260"/>
      <c r="AC38" s="260"/>
      <c r="AD38" s="260"/>
      <c r="AE38" s="261"/>
    </row>
    <row r="39" spans="1:31" ht="75">
      <c r="A39" s="180" t="s">
        <v>282</v>
      </c>
      <c r="B39" s="181" t="s">
        <v>33</v>
      </c>
      <c r="C39" s="149" t="s">
        <v>69</v>
      </c>
      <c r="D39" s="141" t="s">
        <v>5</v>
      </c>
      <c r="E39" s="141" t="s">
        <v>5</v>
      </c>
      <c r="F39" s="182"/>
      <c r="G39" s="149" t="s">
        <v>74</v>
      </c>
      <c r="H39" s="146">
        <f>SUM(I39:S39)</f>
        <v>0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0</v>
      </c>
      <c r="O39" s="147"/>
      <c r="P39" s="147"/>
      <c r="Q39" s="146"/>
      <c r="R39" s="147"/>
      <c r="S39" s="148"/>
      <c r="T39" s="10">
        <f t="shared" si="0"/>
        <v>298.2</v>
      </c>
      <c r="U39" s="27">
        <v>298.2</v>
      </c>
      <c r="V39" s="27">
        <v>0</v>
      </c>
      <c r="W39" s="27">
        <v>0</v>
      </c>
      <c r="X39" s="146">
        <v>0</v>
      </c>
      <c r="Y39" s="146">
        <v>0</v>
      </c>
      <c r="Z39" s="159">
        <v>0</v>
      </c>
      <c r="AA39" s="260"/>
      <c r="AB39" s="260"/>
      <c r="AC39" s="260"/>
      <c r="AD39" s="260"/>
      <c r="AE39" s="261"/>
    </row>
    <row r="40" spans="1:31" ht="75">
      <c r="A40" s="180" t="s">
        <v>283</v>
      </c>
      <c r="B40" s="181" t="s">
        <v>21</v>
      </c>
      <c r="C40" s="149" t="s">
        <v>70</v>
      </c>
      <c r="D40" s="141" t="s">
        <v>5</v>
      </c>
      <c r="E40" s="141" t="s">
        <v>5</v>
      </c>
      <c r="F40" s="182"/>
      <c r="G40" s="149" t="s">
        <v>74</v>
      </c>
      <c r="H40" s="146">
        <f>SUM(I40:S40)</f>
        <v>0</v>
      </c>
      <c r="I40" s="146">
        <v>0</v>
      </c>
      <c r="J40" s="146">
        <v>0</v>
      </c>
      <c r="K40" s="146">
        <v>0</v>
      </c>
      <c r="L40" s="146">
        <v>0</v>
      </c>
      <c r="M40" s="146">
        <v>0</v>
      </c>
      <c r="N40" s="146">
        <v>0</v>
      </c>
      <c r="O40" s="147"/>
      <c r="P40" s="147"/>
      <c r="Q40" s="146"/>
      <c r="R40" s="147"/>
      <c r="S40" s="148"/>
      <c r="T40" s="10">
        <f t="shared" si="0"/>
        <v>6834.8</v>
      </c>
      <c r="U40" s="27">
        <v>6834.8</v>
      </c>
      <c r="V40" s="27">
        <v>0</v>
      </c>
      <c r="W40" s="27">
        <v>0</v>
      </c>
      <c r="X40" s="146">
        <v>0</v>
      </c>
      <c r="Y40" s="146">
        <v>0</v>
      </c>
      <c r="Z40" s="159">
        <v>0</v>
      </c>
      <c r="AA40" s="260"/>
      <c r="AB40" s="260"/>
      <c r="AC40" s="260"/>
      <c r="AD40" s="260"/>
      <c r="AE40" s="261"/>
    </row>
    <row r="41" spans="1:31" ht="37.5">
      <c r="A41" s="139" t="s">
        <v>284</v>
      </c>
      <c r="B41" s="183" t="s">
        <v>22</v>
      </c>
      <c r="C41" s="149" t="s">
        <v>8</v>
      </c>
      <c r="D41" s="142" t="s">
        <v>5</v>
      </c>
      <c r="E41" s="142" t="s">
        <v>5</v>
      </c>
      <c r="F41" s="143"/>
      <c r="G41" s="144" t="s">
        <v>18</v>
      </c>
      <c r="H41" s="145">
        <f>SUM(I41:S43)</f>
        <v>22201</v>
      </c>
      <c r="I41" s="146">
        <v>16797.4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7"/>
      <c r="P41" s="147"/>
      <c r="Q41" s="146"/>
      <c r="R41" s="147"/>
      <c r="S41" s="148"/>
      <c r="T41" s="10">
        <f t="shared" si="0"/>
        <v>16797.4</v>
      </c>
      <c r="U41" s="27">
        <v>16797.4</v>
      </c>
      <c r="V41" s="27">
        <v>0</v>
      </c>
      <c r="W41" s="27">
        <v>0</v>
      </c>
      <c r="X41" s="146">
        <v>0</v>
      </c>
      <c r="Y41" s="146">
        <v>0</v>
      </c>
      <c r="Z41" s="159">
        <v>0</v>
      </c>
      <c r="AA41" s="260"/>
      <c r="AB41" s="260"/>
      <c r="AC41" s="260"/>
      <c r="AD41" s="260"/>
      <c r="AE41" s="261"/>
    </row>
    <row r="42" spans="1:31" ht="18.75">
      <c r="A42" s="139"/>
      <c r="B42" s="183"/>
      <c r="C42" s="149" t="s">
        <v>42</v>
      </c>
      <c r="D42" s="142"/>
      <c r="E42" s="142"/>
      <c r="F42" s="143"/>
      <c r="G42" s="144"/>
      <c r="H42" s="145"/>
      <c r="I42" s="146">
        <v>99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7"/>
      <c r="P42" s="147"/>
      <c r="Q42" s="146"/>
      <c r="R42" s="147"/>
      <c r="S42" s="148"/>
      <c r="T42" s="10">
        <f t="shared" si="0"/>
        <v>99</v>
      </c>
      <c r="U42" s="27">
        <v>99</v>
      </c>
      <c r="V42" s="27">
        <v>0</v>
      </c>
      <c r="W42" s="27">
        <v>0</v>
      </c>
      <c r="X42" s="146">
        <v>0</v>
      </c>
      <c r="Y42" s="146">
        <v>0</v>
      </c>
      <c r="Z42" s="159">
        <v>0</v>
      </c>
      <c r="AA42" s="260"/>
      <c r="AB42" s="260"/>
      <c r="AC42" s="260"/>
      <c r="AD42" s="260"/>
      <c r="AE42" s="261"/>
    </row>
    <row r="43" spans="1:31" ht="75">
      <c r="A43" s="139"/>
      <c r="B43" s="183"/>
      <c r="C43" s="149" t="s">
        <v>71</v>
      </c>
      <c r="D43" s="142"/>
      <c r="E43" s="142"/>
      <c r="F43" s="143"/>
      <c r="G43" s="144"/>
      <c r="H43" s="145"/>
      <c r="I43" s="146">
        <v>5304.6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47"/>
      <c r="P43" s="147"/>
      <c r="Q43" s="146"/>
      <c r="R43" s="147"/>
      <c r="S43" s="148"/>
      <c r="T43" s="10">
        <f t="shared" si="0"/>
        <v>5304.6</v>
      </c>
      <c r="U43" s="27">
        <v>5304.6</v>
      </c>
      <c r="V43" s="27">
        <v>0</v>
      </c>
      <c r="W43" s="27">
        <v>0</v>
      </c>
      <c r="X43" s="146">
        <v>0</v>
      </c>
      <c r="Y43" s="146">
        <v>0</v>
      </c>
      <c r="Z43" s="159">
        <v>0</v>
      </c>
      <c r="AA43" s="260"/>
      <c r="AB43" s="260"/>
      <c r="AC43" s="260"/>
      <c r="AD43" s="260"/>
      <c r="AE43" s="261"/>
    </row>
    <row r="44" spans="1:31" ht="18.75">
      <c r="A44" s="139" t="s">
        <v>285</v>
      </c>
      <c r="B44" s="184" t="s">
        <v>43</v>
      </c>
      <c r="C44" s="149" t="s">
        <v>42</v>
      </c>
      <c r="D44" s="142" t="s">
        <v>5</v>
      </c>
      <c r="E44" s="142" t="s">
        <v>5</v>
      </c>
      <c r="F44" s="185"/>
      <c r="G44" s="144" t="s">
        <v>18</v>
      </c>
      <c r="H44" s="145">
        <f>SUM(I44:S46)</f>
        <v>4017.2999999999997</v>
      </c>
      <c r="I44" s="146">
        <v>567.5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7"/>
      <c r="P44" s="147"/>
      <c r="Q44" s="146"/>
      <c r="R44" s="147"/>
      <c r="S44" s="148"/>
      <c r="T44" s="10">
        <f t="shared" si="0"/>
        <v>567.5</v>
      </c>
      <c r="U44" s="27">
        <v>567.5</v>
      </c>
      <c r="V44" s="27">
        <v>0</v>
      </c>
      <c r="W44" s="27">
        <v>0</v>
      </c>
      <c r="X44" s="146">
        <v>0</v>
      </c>
      <c r="Y44" s="146">
        <v>0</v>
      </c>
      <c r="Z44" s="159">
        <v>0</v>
      </c>
      <c r="AA44" s="260"/>
      <c r="AB44" s="260"/>
      <c r="AC44" s="260"/>
      <c r="AD44" s="260"/>
      <c r="AE44" s="261"/>
    </row>
    <row r="45" spans="1:31" ht="37.5">
      <c r="A45" s="139"/>
      <c r="B45" s="184"/>
      <c r="C45" s="149" t="s">
        <v>8</v>
      </c>
      <c r="D45" s="142"/>
      <c r="E45" s="142"/>
      <c r="F45" s="185"/>
      <c r="G45" s="144"/>
      <c r="H45" s="145"/>
      <c r="I45" s="146">
        <v>3186.2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7"/>
      <c r="P45" s="147"/>
      <c r="Q45" s="146"/>
      <c r="R45" s="147"/>
      <c r="S45" s="148"/>
      <c r="T45" s="10">
        <f t="shared" si="0"/>
        <v>3186.2</v>
      </c>
      <c r="U45" s="27">
        <v>3186.2</v>
      </c>
      <c r="V45" s="27">
        <v>0</v>
      </c>
      <c r="W45" s="27">
        <v>0</v>
      </c>
      <c r="X45" s="146">
        <v>0</v>
      </c>
      <c r="Y45" s="146">
        <v>0</v>
      </c>
      <c r="Z45" s="159">
        <v>0</v>
      </c>
      <c r="AA45" s="260"/>
      <c r="AB45" s="260"/>
      <c r="AC45" s="260"/>
      <c r="AD45" s="260"/>
      <c r="AE45" s="261"/>
    </row>
    <row r="46" spans="1:31" ht="75">
      <c r="A46" s="139"/>
      <c r="B46" s="184"/>
      <c r="C46" s="149" t="s">
        <v>72</v>
      </c>
      <c r="D46" s="142"/>
      <c r="E46" s="142"/>
      <c r="F46" s="185"/>
      <c r="G46" s="144"/>
      <c r="H46" s="145"/>
      <c r="I46" s="146">
        <v>263.6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7"/>
      <c r="P46" s="147"/>
      <c r="Q46" s="146"/>
      <c r="R46" s="147"/>
      <c r="S46" s="148"/>
      <c r="T46" s="10">
        <f t="shared" si="0"/>
        <v>263.6</v>
      </c>
      <c r="U46" s="27">
        <v>263.6</v>
      </c>
      <c r="V46" s="27">
        <v>0</v>
      </c>
      <c r="W46" s="27">
        <v>0</v>
      </c>
      <c r="X46" s="146">
        <v>0</v>
      </c>
      <c r="Y46" s="146">
        <v>0</v>
      </c>
      <c r="Z46" s="159">
        <v>0</v>
      </c>
      <c r="AA46" s="260"/>
      <c r="AB46" s="260"/>
      <c r="AC46" s="260"/>
      <c r="AD46" s="260"/>
      <c r="AE46" s="261"/>
    </row>
    <row r="47" spans="1:31" ht="75">
      <c r="A47" s="180" t="s">
        <v>286</v>
      </c>
      <c r="B47" s="181" t="s">
        <v>29</v>
      </c>
      <c r="C47" s="149" t="s">
        <v>68</v>
      </c>
      <c r="D47" s="141" t="s">
        <v>5</v>
      </c>
      <c r="E47" s="141" t="s">
        <v>5</v>
      </c>
      <c r="F47" s="182"/>
      <c r="G47" s="149" t="s">
        <v>74</v>
      </c>
      <c r="H47" s="146">
        <f>SUM(I47:S47)</f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7"/>
      <c r="P47" s="147"/>
      <c r="Q47" s="146"/>
      <c r="R47" s="147"/>
      <c r="S47" s="148"/>
      <c r="T47" s="10">
        <f t="shared" si="0"/>
        <v>337.4</v>
      </c>
      <c r="U47" s="27">
        <v>337.4</v>
      </c>
      <c r="V47" s="27">
        <v>0</v>
      </c>
      <c r="W47" s="27">
        <v>0</v>
      </c>
      <c r="X47" s="146">
        <v>0</v>
      </c>
      <c r="Y47" s="146">
        <v>0</v>
      </c>
      <c r="Z47" s="159">
        <v>0</v>
      </c>
      <c r="AA47" s="260"/>
      <c r="AB47" s="260"/>
      <c r="AC47" s="260"/>
      <c r="AD47" s="260"/>
      <c r="AE47" s="261"/>
    </row>
    <row r="48" spans="1:31" ht="37.5">
      <c r="A48" s="139" t="s">
        <v>287</v>
      </c>
      <c r="B48" s="186" t="s">
        <v>98</v>
      </c>
      <c r="C48" s="149" t="s">
        <v>8</v>
      </c>
      <c r="D48" s="142" t="s">
        <v>5</v>
      </c>
      <c r="E48" s="142" t="s">
        <v>5</v>
      </c>
      <c r="F48" s="143"/>
      <c r="G48" s="144" t="s">
        <v>127</v>
      </c>
      <c r="H48" s="145">
        <f>SUM(I48:S50)</f>
        <v>12277.199999999999</v>
      </c>
      <c r="I48" s="146">
        <v>3049.7</v>
      </c>
      <c r="J48" s="146">
        <f>7407.4+1500-8907.4</f>
        <v>0</v>
      </c>
      <c r="K48" s="146">
        <f>8907.4-0.2</f>
        <v>8907.199999999999</v>
      </c>
      <c r="L48" s="146">
        <v>0</v>
      </c>
      <c r="M48" s="146">
        <v>0</v>
      </c>
      <c r="N48" s="146">
        <v>0</v>
      </c>
      <c r="O48" s="147"/>
      <c r="P48" s="147"/>
      <c r="Q48" s="146"/>
      <c r="R48" s="147"/>
      <c r="S48" s="148"/>
      <c r="T48" s="10">
        <f t="shared" si="0"/>
        <v>11956.899999999998</v>
      </c>
      <c r="U48" s="27">
        <v>3049.7</v>
      </c>
      <c r="V48" s="27">
        <f>7407.4+1500-8907.4</f>
        <v>0</v>
      </c>
      <c r="W48" s="27">
        <f>8907.4-0.2</f>
        <v>8907.199999999999</v>
      </c>
      <c r="X48" s="146">
        <v>0</v>
      </c>
      <c r="Y48" s="146">
        <v>0</v>
      </c>
      <c r="Z48" s="159">
        <v>0</v>
      </c>
      <c r="AA48" s="260"/>
      <c r="AB48" s="260"/>
      <c r="AC48" s="260"/>
      <c r="AD48" s="260"/>
      <c r="AE48" s="261"/>
    </row>
    <row r="49" spans="1:31" ht="93.75">
      <c r="A49" s="139"/>
      <c r="B49" s="186"/>
      <c r="C49" s="149" t="s">
        <v>108</v>
      </c>
      <c r="D49" s="142"/>
      <c r="E49" s="142"/>
      <c r="F49" s="143"/>
      <c r="G49" s="144"/>
      <c r="H49" s="145"/>
      <c r="I49" s="146">
        <v>0</v>
      </c>
      <c r="J49" s="146">
        <f>235.1-235.1</f>
        <v>0</v>
      </c>
      <c r="K49" s="146">
        <f>235.1</f>
        <v>235.1</v>
      </c>
      <c r="L49" s="146">
        <v>0</v>
      </c>
      <c r="M49" s="146">
        <v>35.2</v>
      </c>
      <c r="N49" s="146">
        <v>0</v>
      </c>
      <c r="O49" s="147"/>
      <c r="P49" s="147"/>
      <c r="Q49" s="146"/>
      <c r="R49" s="147"/>
      <c r="S49" s="148"/>
      <c r="T49" s="10">
        <f t="shared" si="0"/>
        <v>505.4</v>
      </c>
      <c r="U49" s="27">
        <v>0</v>
      </c>
      <c r="V49" s="27">
        <f>235.1-235.1</f>
        <v>0</v>
      </c>
      <c r="W49" s="27">
        <f>235.1</f>
        <v>235.1</v>
      </c>
      <c r="X49" s="146">
        <f>235-35.2</f>
        <v>199.8</v>
      </c>
      <c r="Y49" s="146">
        <v>35.2</v>
      </c>
      <c r="Z49" s="146">
        <v>35.3</v>
      </c>
      <c r="AA49" s="260"/>
      <c r="AB49" s="260"/>
      <c r="AC49" s="260"/>
      <c r="AD49" s="260"/>
      <c r="AE49" s="261"/>
    </row>
    <row r="50" spans="1:31" ht="18.75">
      <c r="A50" s="139"/>
      <c r="B50" s="186"/>
      <c r="C50" s="149" t="s">
        <v>50</v>
      </c>
      <c r="D50" s="142"/>
      <c r="E50" s="142"/>
      <c r="F50" s="143"/>
      <c r="G50" s="144"/>
      <c r="H50" s="145"/>
      <c r="I50" s="146">
        <v>14.9</v>
      </c>
      <c r="J50" s="146">
        <f>35.1-35.1</f>
        <v>0</v>
      </c>
      <c r="K50" s="146">
        <v>35.1</v>
      </c>
      <c r="L50" s="146">
        <v>0</v>
      </c>
      <c r="M50" s="146">
        <v>0</v>
      </c>
      <c r="N50" s="146">
        <v>0</v>
      </c>
      <c r="O50" s="147"/>
      <c r="P50" s="147"/>
      <c r="Q50" s="146"/>
      <c r="R50" s="147"/>
      <c r="S50" s="148"/>
      <c r="T50" s="10">
        <f t="shared" si="0"/>
        <v>50</v>
      </c>
      <c r="U50" s="27">
        <v>14.9</v>
      </c>
      <c r="V50" s="27">
        <f>35.1-35.1</f>
        <v>0</v>
      </c>
      <c r="W50" s="27">
        <v>35.1</v>
      </c>
      <c r="X50" s="146">
        <v>0</v>
      </c>
      <c r="Y50" s="146">
        <v>0</v>
      </c>
      <c r="Z50" s="159">
        <v>0</v>
      </c>
      <c r="AA50" s="260"/>
      <c r="AB50" s="260"/>
      <c r="AC50" s="260"/>
      <c r="AD50" s="260"/>
      <c r="AE50" s="261"/>
    </row>
    <row r="51" spans="1:31" ht="37.5">
      <c r="A51" s="139" t="s">
        <v>288</v>
      </c>
      <c r="B51" s="186" t="s">
        <v>51</v>
      </c>
      <c r="C51" s="149" t="s">
        <v>8</v>
      </c>
      <c r="D51" s="142" t="s">
        <v>5</v>
      </c>
      <c r="E51" s="142" t="s">
        <v>5</v>
      </c>
      <c r="F51" s="143"/>
      <c r="G51" s="144" t="s">
        <v>95</v>
      </c>
      <c r="H51" s="145">
        <f>SUM(I51:S53)</f>
        <v>3436.2</v>
      </c>
      <c r="I51" s="146">
        <v>0</v>
      </c>
      <c r="J51" s="146">
        <v>3149.5</v>
      </c>
      <c r="K51" s="146">
        <v>0</v>
      </c>
      <c r="L51" s="146">
        <v>0</v>
      </c>
      <c r="M51" s="146">
        <v>0</v>
      </c>
      <c r="N51" s="146">
        <v>0</v>
      </c>
      <c r="O51" s="147"/>
      <c r="P51" s="147"/>
      <c r="Q51" s="146"/>
      <c r="R51" s="147"/>
      <c r="S51" s="148"/>
      <c r="T51" s="10">
        <f t="shared" si="0"/>
        <v>3149.5</v>
      </c>
      <c r="U51" s="27">
        <v>0</v>
      </c>
      <c r="V51" s="27">
        <v>3149.5</v>
      </c>
      <c r="W51" s="27">
        <v>0</v>
      </c>
      <c r="X51" s="146">
        <v>0</v>
      </c>
      <c r="Y51" s="146">
        <v>0</v>
      </c>
      <c r="Z51" s="159">
        <v>0</v>
      </c>
      <c r="AA51" s="260"/>
      <c r="AB51" s="260"/>
      <c r="AC51" s="260"/>
      <c r="AD51" s="260"/>
      <c r="AE51" s="261"/>
    </row>
    <row r="52" spans="1:31" ht="18.75">
      <c r="A52" s="139"/>
      <c r="B52" s="186"/>
      <c r="C52" s="149" t="s">
        <v>96</v>
      </c>
      <c r="D52" s="142"/>
      <c r="E52" s="142"/>
      <c r="F52" s="143"/>
      <c r="G52" s="144"/>
      <c r="H52" s="145"/>
      <c r="I52" s="146">
        <v>0</v>
      </c>
      <c r="J52" s="146">
        <f>55-55</f>
        <v>0</v>
      </c>
      <c r="K52" s="146">
        <v>0</v>
      </c>
      <c r="L52" s="146">
        <v>0</v>
      </c>
      <c r="M52" s="146">
        <v>0</v>
      </c>
      <c r="N52" s="146">
        <v>0</v>
      </c>
      <c r="O52" s="147"/>
      <c r="P52" s="147"/>
      <c r="Q52" s="146"/>
      <c r="R52" s="147"/>
      <c r="S52" s="148"/>
      <c r="T52" s="10">
        <f t="shared" si="0"/>
        <v>0</v>
      </c>
      <c r="U52" s="27">
        <v>0</v>
      </c>
      <c r="V52" s="27">
        <f>55-55</f>
        <v>0</v>
      </c>
      <c r="W52" s="27">
        <v>0</v>
      </c>
      <c r="X52" s="146">
        <v>0</v>
      </c>
      <c r="Y52" s="146">
        <v>0</v>
      </c>
      <c r="Z52" s="159">
        <v>0</v>
      </c>
      <c r="AA52" s="260"/>
      <c r="AB52" s="260"/>
      <c r="AC52" s="260"/>
      <c r="AD52" s="260"/>
      <c r="AE52" s="261"/>
    </row>
    <row r="53" spans="1:31" ht="75">
      <c r="A53" s="139"/>
      <c r="B53" s="186"/>
      <c r="C53" s="149" t="s">
        <v>72</v>
      </c>
      <c r="D53" s="142"/>
      <c r="E53" s="142"/>
      <c r="F53" s="143"/>
      <c r="G53" s="144"/>
      <c r="H53" s="145"/>
      <c r="I53" s="146">
        <v>0</v>
      </c>
      <c r="J53" s="146">
        <f>930.7-644</f>
        <v>286.70000000000005</v>
      </c>
      <c r="K53" s="146">
        <v>0</v>
      </c>
      <c r="L53" s="146">
        <v>0</v>
      </c>
      <c r="M53" s="146">
        <v>0</v>
      </c>
      <c r="N53" s="146">
        <v>0</v>
      </c>
      <c r="O53" s="147"/>
      <c r="P53" s="147"/>
      <c r="Q53" s="146"/>
      <c r="R53" s="147"/>
      <c r="S53" s="148"/>
      <c r="T53" s="10">
        <f t="shared" si="0"/>
        <v>286.70000000000005</v>
      </c>
      <c r="U53" s="27">
        <v>0</v>
      </c>
      <c r="V53" s="27">
        <f>930.7-644</f>
        <v>286.70000000000005</v>
      </c>
      <c r="W53" s="27">
        <v>0</v>
      </c>
      <c r="X53" s="146">
        <v>0</v>
      </c>
      <c r="Y53" s="146">
        <v>0</v>
      </c>
      <c r="Z53" s="159">
        <v>0</v>
      </c>
      <c r="AA53" s="260"/>
      <c r="AB53" s="260"/>
      <c r="AC53" s="260"/>
      <c r="AD53" s="260"/>
      <c r="AE53" s="261"/>
    </row>
    <row r="54" spans="1:31" ht="37.5">
      <c r="A54" s="187" t="s">
        <v>289</v>
      </c>
      <c r="B54" s="188" t="s">
        <v>102</v>
      </c>
      <c r="C54" s="149" t="s">
        <v>8</v>
      </c>
      <c r="D54" s="142" t="s">
        <v>5</v>
      </c>
      <c r="E54" s="142" t="s">
        <v>5</v>
      </c>
      <c r="F54" s="189"/>
      <c r="G54" s="190" t="s">
        <v>95</v>
      </c>
      <c r="H54" s="191">
        <f>SUM(I54:S56)</f>
        <v>2626.6</v>
      </c>
      <c r="I54" s="146">
        <v>0</v>
      </c>
      <c r="J54" s="146">
        <v>0</v>
      </c>
      <c r="K54" s="146">
        <f>1981.6</f>
        <v>1981.6</v>
      </c>
      <c r="L54" s="146">
        <v>0</v>
      </c>
      <c r="M54" s="146">
        <v>0</v>
      </c>
      <c r="N54" s="146">
        <v>0</v>
      </c>
      <c r="O54" s="147"/>
      <c r="P54" s="147"/>
      <c r="Q54" s="146"/>
      <c r="R54" s="147"/>
      <c r="S54" s="148"/>
      <c r="T54" s="10">
        <f t="shared" si="0"/>
        <v>1981.6</v>
      </c>
      <c r="U54" s="27">
        <v>0</v>
      </c>
      <c r="V54" s="27">
        <v>0</v>
      </c>
      <c r="W54" s="27">
        <f>1981.6</f>
        <v>1981.6</v>
      </c>
      <c r="X54" s="146">
        <v>0</v>
      </c>
      <c r="Y54" s="146">
        <v>0</v>
      </c>
      <c r="Z54" s="159">
        <v>0</v>
      </c>
      <c r="AA54" s="260"/>
      <c r="AB54" s="260"/>
      <c r="AC54" s="260"/>
      <c r="AD54" s="260"/>
      <c r="AE54" s="261"/>
    </row>
    <row r="55" spans="1:31" ht="18.75">
      <c r="A55" s="152"/>
      <c r="B55" s="192"/>
      <c r="C55" s="149" t="s">
        <v>96</v>
      </c>
      <c r="D55" s="142"/>
      <c r="E55" s="142"/>
      <c r="F55" s="155"/>
      <c r="G55" s="156"/>
      <c r="H55" s="157"/>
      <c r="I55" s="146">
        <v>0</v>
      </c>
      <c r="J55" s="146">
        <v>0</v>
      </c>
      <c r="K55" s="146">
        <f>55-55</f>
        <v>0</v>
      </c>
      <c r="L55" s="146">
        <v>0</v>
      </c>
      <c r="M55" s="146">
        <v>0</v>
      </c>
      <c r="N55" s="146">
        <v>0</v>
      </c>
      <c r="O55" s="147"/>
      <c r="P55" s="147"/>
      <c r="Q55" s="146"/>
      <c r="R55" s="147"/>
      <c r="S55" s="148"/>
      <c r="T55" s="10">
        <f t="shared" si="0"/>
        <v>0</v>
      </c>
      <c r="U55" s="27">
        <v>0</v>
      </c>
      <c r="V55" s="27">
        <v>0</v>
      </c>
      <c r="W55" s="27">
        <f>55-55</f>
        <v>0</v>
      </c>
      <c r="X55" s="146">
        <v>0</v>
      </c>
      <c r="Y55" s="146">
        <v>0</v>
      </c>
      <c r="Z55" s="159">
        <v>0</v>
      </c>
      <c r="AA55" s="260"/>
      <c r="AB55" s="260"/>
      <c r="AC55" s="260"/>
      <c r="AD55" s="260"/>
      <c r="AE55" s="261"/>
    </row>
    <row r="56" spans="1:31" ht="93.75">
      <c r="A56" s="129"/>
      <c r="B56" s="193"/>
      <c r="C56" s="149" t="s">
        <v>114</v>
      </c>
      <c r="D56" s="142"/>
      <c r="E56" s="142"/>
      <c r="F56" s="133"/>
      <c r="G56" s="134"/>
      <c r="H56" s="135"/>
      <c r="I56" s="146">
        <v>0</v>
      </c>
      <c r="J56" s="146">
        <v>0</v>
      </c>
      <c r="K56" s="146">
        <f>643.8+1.2</f>
        <v>645</v>
      </c>
      <c r="L56" s="146">
        <v>0</v>
      </c>
      <c r="M56" s="146">
        <v>0</v>
      </c>
      <c r="N56" s="146">
        <v>0</v>
      </c>
      <c r="O56" s="147"/>
      <c r="P56" s="147"/>
      <c r="Q56" s="146"/>
      <c r="R56" s="147"/>
      <c r="S56" s="148"/>
      <c r="T56" s="10">
        <f t="shared" si="0"/>
        <v>645</v>
      </c>
      <c r="U56" s="27">
        <v>0</v>
      </c>
      <c r="V56" s="27">
        <v>0</v>
      </c>
      <c r="W56" s="27">
        <f>643.8+1.2</f>
        <v>645</v>
      </c>
      <c r="X56" s="146">
        <v>0</v>
      </c>
      <c r="Y56" s="146">
        <v>0</v>
      </c>
      <c r="Z56" s="159">
        <v>0</v>
      </c>
      <c r="AA56" s="260"/>
      <c r="AB56" s="260"/>
      <c r="AC56" s="260"/>
      <c r="AD56" s="260"/>
      <c r="AE56" s="261"/>
    </row>
    <row r="57" spans="1:31" ht="113.25" thickBot="1">
      <c r="A57" s="194" t="s">
        <v>290</v>
      </c>
      <c r="B57" s="195" t="s">
        <v>52</v>
      </c>
      <c r="C57" s="167" t="s">
        <v>9</v>
      </c>
      <c r="D57" s="101" t="s">
        <v>5</v>
      </c>
      <c r="E57" s="101" t="s">
        <v>5</v>
      </c>
      <c r="F57" s="196">
        <f>1483/1000</f>
        <v>1.483</v>
      </c>
      <c r="G57" s="167" t="s">
        <v>18</v>
      </c>
      <c r="H57" s="104">
        <f>SUM(I57:S57)</f>
        <v>17346.899999999998</v>
      </c>
      <c r="I57" s="104">
        <v>16586.6</v>
      </c>
      <c r="J57" s="104">
        <f>590+170.6-0.3</f>
        <v>760.3000000000001</v>
      </c>
      <c r="K57" s="104">
        <v>0</v>
      </c>
      <c r="L57" s="104">
        <v>0</v>
      </c>
      <c r="M57" s="104">
        <v>0</v>
      </c>
      <c r="N57" s="104">
        <v>0</v>
      </c>
      <c r="O57" s="105"/>
      <c r="P57" s="105"/>
      <c r="Q57" s="104"/>
      <c r="R57" s="105"/>
      <c r="S57" s="106"/>
      <c r="T57" s="5">
        <f t="shared" si="0"/>
        <v>17514.7</v>
      </c>
      <c r="U57" s="28">
        <v>16754.4</v>
      </c>
      <c r="V57" s="28">
        <f>590+170.6-0.3</f>
        <v>760.3000000000001</v>
      </c>
      <c r="W57" s="28">
        <v>0</v>
      </c>
      <c r="X57" s="104">
        <v>0</v>
      </c>
      <c r="Y57" s="104">
        <v>0</v>
      </c>
      <c r="Z57" s="262">
        <v>0</v>
      </c>
      <c r="AA57" s="251"/>
      <c r="AB57" s="251"/>
      <c r="AC57" s="251"/>
      <c r="AD57" s="251"/>
      <c r="AE57" s="252"/>
    </row>
    <row r="58" spans="1:31" ht="113.25" customHeight="1" thickBot="1">
      <c r="A58" s="120" t="s">
        <v>291</v>
      </c>
      <c r="B58" s="168" t="s">
        <v>292</v>
      </c>
      <c r="C58" s="114" t="s">
        <v>123</v>
      </c>
      <c r="D58" s="122" t="s">
        <v>5</v>
      </c>
      <c r="E58" s="122" t="s">
        <v>5</v>
      </c>
      <c r="F58" s="169"/>
      <c r="G58" s="114" t="s">
        <v>74</v>
      </c>
      <c r="H58" s="117">
        <f>SUM(I58:S58)</f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8"/>
      <c r="P58" s="118"/>
      <c r="Q58" s="117"/>
      <c r="R58" s="118"/>
      <c r="S58" s="119"/>
      <c r="T58" s="6">
        <f>U58+V58+W58+X58+Y58+Z58</f>
        <v>25</v>
      </c>
      <c r="U58" s="30">
        <v>0</v>
      </c>
      <c r="V58" s="30">
        <v>0</v>
      </c>
      <c r="W58" s="30">
        <v>0</v>
      </c>
      <c r="X58" s="117">
        <v>25</v>
      </c>
      <c r="Y58" s="117">
        <v>0</v>
      </c>
      <c r="Z58" s="166">
        <v>0</v>
      </c>
      <c r="AA58" s="254"/>
      <c r="AB58" s="254"/>
      <c r="AC58" s="254"/>
      <c r="AD58" s="254"/>
      <c r="AE58" s="255"/>
    </row>
    <row r="59" spans="1:31" ht="75">
      <c r="A59" s="152" t="s">
        <v>59</v>
      </c>
      <c r="B59" s="197" t="s">
        <v>121</v>
      </c>
      <c r="C59" s="165" t="s">
        <v>103</v>
      </c>
      <c r="D59" s="154" t="s">
        <v>5</v>
      </c>
      <c r="E59" s="154" t="s">
        <v>5</v>
      </c>
      <c r="F59" s="155" t="s">
        <v>204</v>
      </c>
      <c r="G59" s="156" t="s">
        <v>127</v>
      </c>
      <c r="H59" s="157">
        <v>160877.78</v>
      </c>
      <c r="I59" s="136">
        <v>0</v>
      </c>
      <c r="J59" s="136">
        <v>0</v>
      </c>
      <c r="K59" s="136">
        <v>1401.9</v>
      </c>
      <c r="L59" s="136">
        <v>247.4</v>
      </c>
      <c r="M59" s="136">
        <v>0</v>
      </c>
      <c r="N59" s="136">
        <v>0</v>
      </c>
      <c r="O59" s="137"/>
      <c r="P59" s="137"/>
      <c r="Q59" s="136"/>
      <c r="R59" s="137"/>
      <c r="S59" s="138"/>
      <c r="T59" s="9">
        <f t="shared" si="0"/>
        <v>1649.3000000000002</v>
      </c>
      <c r="U59" s="26">
        <v>0</v>
      </c>
      <c r="V59" s="26">
        <v>0</v>
      </c>
      <c r="W59" s="26">
        <v>1401.9</v>
      </c>
      <c r="X59" s="136">
        <v>247.4</v>
      </c>
      <c r="Y59" s="136">
        <v>0</v>
      </c>
      <c r="Z59" s="158">
        <v>0</v>
      </c>
      <c r="AA59" s="258"/>
      <c r="AB59" s="258"/>
      <c r="AC59" s="258"/>
      <c r="AD59" s="258"/>
      <c r="AE59" s="259"/>
    </row>
    <row r="60" spans="1:31" ht="75">
      <c r="A60" s="152"/>
      <c r="B60" s="192"/>
      <c r="C60" s="149" t="s">
        <v>72</v>
      </c>
      <c r="D60" s="154"/>
      <c r="E60" s="154"/>
      <c r="F60" s="155"/>
      <c r="G60" s="156"/>
      <c r="H60" s="157"/>
      <c r="I60" s="146">
        <v>0</v>
      </c>
      <c r="J60" s="146">
        <v>0</v>
      </c>
      <c r="K60" s="146">
        <v>0</v>
      </c>
      <c r="L60" s="146">
        <v>0</v>
      </c>
      <c r="M60" s="146">
        <v>0</v>
      </c>
      <c r="N60" s="146">
        <v>0</v>
      </c>
      <c r="O60" s="147"/>
      <c r="P60" s="147"/>
      <c r="Q60" s="146"/>
      <c r="R60" s="147"/>
      <c r="S60" s="148"/>
      <c r="T60" s="10">
        <f t="shared" si="0"/>
        <v>0</v>
      </c>
      <c r="U60" s="27">
        <v>0</v>
      </c>
      <c r="V60" s="27">
        <v>0</v>
      </c>
      <c r="W60" s="27">
        <v>0</v>
      </c>
      <c r="X60" s="146">
        <v>0</v>
      </c>
      <c r="Y60" s="146">
        <v>0</v>
      </c>
      <c r="Z60" s="159">
        <v>0</v>
      </c>
      <c r="AA60" s="260"/>
      <c r="AB60" s="260"/>
      <c r="AC60" s="260"/>
      <c r="AD60" s="260"/>
      <c r="AE60" s="261"/>
    </row>
    <row r="61" spans="1:31" ht="75">
      <c r="A61" s="152"/>
      <c r="B61" s="192"/>
      <c r="C61" s="149" t="s">
        <v>104</v>
      </c>
      <c r="D61" s="154"/>
      <c r="E61" s="154"/>
      <c r="F61" s="155"/>
      <c r="G61" s="156"/>
      <c r="H61" s="157"/>
      <c r="I61" s="146">
        <v>0</v>
      </c>
      <c r="J61" s="146">
        <v>0</v>
      </c>
      <c r="K61" s="146">
        <v>105.7</v>
      </c>
      <c r="L61" s="146">
        <v>158.6</v>
      </c>
      <c r="M61" s="146">
        <v>0</v>
      </c>
      <c r="N61" s="146">
        <v>0</v>
      </c>
      <c r="O61" s="147"/>
      <c r="P61" s="147"/>
      <c r="Q61" s="146"/>
      <c r="R61" s="147"/>
      <c r="S61" s="148"/>
      <c r="T61" s="10">
        <f t="shared" si="0"/>
        <v>264.3</v>
      </c>
      <c r="U61" s="27">
        <v>0</v>
      </c>
      <c r="V61" s="27">
        <v>0</v>
      </c>
      <c r="W61" s="27">
        <v>105.7</v>
      </c>
      <c r="X61" s="146">
        <v>158.6</v>
      </c>
      <c r="Y61" s="146">
        <v>0</v>
      </c>
      <c r="Z61" s="159">
        <v>0</v>
      </c>
      <c r="AA61" s="260"/>
      <c r="AB61" s="260"/>
      <c r="AC61" s="260"/>
      <c r="AD61" s="260"/>
      <c r="AE61" s="261"/>
    </row>
    <row r="62" spans="1:31" ht="37.5">
      <c r="A62" s="152"/>
      <c r="B62" s="192"/>
      <c r="C62" s="149" t="s">
        <v>105</v>
      </c>
      <c r="D62" s="154"/>
      <c r="E62" s="154"/>
      <c r="F62" s="155"/>
      <c r="G62" s="156"/>
      <c r="H62" s="157"/>
      <c r="I62" s="146">
        <v>0</v>
      </c>
      <c r="J62" s="146">
        <v>0</v>
      </c>
      <c r="K62" s="146">
        <v>3387</v>
      </c>
      <c r="L62" s="146">
        <v>0</v>
      </c>
      <c r="M62" s="146">
        <v>0</v>
      </c>
      <c r="N62" s="146">
        <v>0</v>
      </c>
      <c r="O62" s="147"/>
      <c r="P62" s="147"/>
      <c r="Q62" s="146"/>
      <c r="R62" s="147"/>
      <c r="S62" s="148"/>
      <c r="T62" s="10">
        <f t="shared" si="0"/>
        <v>3387</v>
      </c>
      <c r="U62" s="27">
        <v>0</v>
      </c>
      <c r="V62" s="27">
        <v>0</v>
      </c>
      <c r="W62" s="27">
        <v>3387</v>
      </c>
      <c r="X62" s="146">
        <v>0</v>
      </c>
      <c r="Y62" s="146">
        <v>0</v>
      </c>
      <c r="Z62" s="159">
        <v>0</v>
      </c>
      <c r="AA62" s="260"/>
      <c r="AB62" s="260"/>
      <c r="AC62" s="260"/>
      <c r="AD62" s="260"/>
      <c r="AE62" s="261"/>
    </row>
    <row r="63" spans="1:31" ht="18.75">
      <c r="A63" s="152"/>
      <c r="B63" s="192"/>
      <c r="C63" s="149" t="s">
        <v>67</v>
      </c>
      <c r="D63" s="154"/>
      <c r="E63" s="154"/>
      <c r="F63" s="155"/>
      <c r="G63" s="156"/>
      <c r="H63" s="157"/>
      <c r="I63" s="146">
        <v>0</v>
      </c>
      <c r="J63" s="146">
        <v>0</v>
      </c>
      <c r="K63" s="146">
        <v>45.7</v>
      </c>
      <c r="L63" s="146">
        <v>54.2</v>
      </c>
      <c r="M63" s="146">
        <v>0</v>
      </c>
      <c r="N63" s="146">
        <v>0</v>
      </c>
      <c r="O63" s="147"/>
      <c r="P63" s="147"/>
      <c r="Q63" s="146"/>
      <c r="R63" s="147"/>
      <c r="S63" s="148"/>
      <c r="T63" s="10">
        <f t="shared" si="0"/>
        <v>99.9</v>
      </c>
      <c r="U63" s="27">
        <v>0</v>
      </c>
      <c r="V63" s="27">
        <v>0</v>
      </c>
      <c r="W63" s="27">
        <v>45.7</v>
      </c>
      <c r="X63" s="146">
        <v>54.2</v>
      </c>
      <c r="Y63" s="146">
        <v>0</v>
      </c>
      <c r="Z63" s="159">
        <v>0</v>
      </c>
      <c r="AA63" s="260"/>
      <c r="AB63" s="260"/>
      <c r="AC63" s="260"/>
      <c r="AD63" s="260"/>
      <c r="AE63" s="261"/>
    </row>
    <row r="64" spans="1:31" ht="18.75">
      <c r="A64" s="152"/>
      <c r="B64" s="192"/>
      <c r="C64" s="149" t="s">
        <v>106</v>
      </c>
      <c r="D64" s="154"/>
      <c r="E64" s="154"/>
      <c r="F64" s="155"/>
      <c r="G64" s="156"/>
      <c r="H64" s="157"/>
      <c r="I64" s="146">
        <v>0</v>
      </c>
      <c r="J64" s="146">
        <v>0</v>
      </c>
      <c r="K64" s="146">
        <v>568.3</v>
      </c>
      <c r="L64" s="146">
        <v>0</v>
      </c>
      <c r="M64" s="146">
        <v>0</v>
      </c>
      <c r="N64" s="146">
        <v>0</v>
      </c>
      <c r="O64" s="147"/>
      <c r="P64" s="147"/>
      <c r="Q64" s="146"/>
      <c r="R64" s="147"/>
      <c r="S64" s="148"/>
      <c r="T64" s="10">
        <f t="shared" si="0"/>
        <v>811.8000000000001</v>
      </c>
      <c r="U64" s="27">
        <v>0</v>
      </c>
      <c r="V64" s="27">
        <f>831.7-568.3-19.9</f>
        <v>243.50000000000009</v>
      </c>
      <c r="W64" s="27">
        <v>568.3</v>
      </c>
      <c r="X64" s="146">
        <v>0</v>
      </c>
      <c r="Y64" s="146">
        <v>0</v>
      </c>
      <c r="Z64" s="159">
        <v>0</v>
      </c>
      <c r="AA64" s="260"/>
      <c r="AB64" s="260"/>
      <c r="AC64" s="260"/>
      <c r="AD64" s="260"/>
      <c r="AE64" s="261"/>
    </row>
    <row r="65" spans="1:31" ht="37.5">
      <c r="A65" s="152"/>
      <c r="B65" s="192"/>
      <c r="C65" s="141" t="s">
        <v>8</v>
      </c>
      <c r="D65" s="154"/>
      <c r="E65" s="154"/>
      <c r="F65" s="155"/>
      <c r="G65" s="156"/>
      <c r="H65" s="157"/>
      <c r="I65" s="146">
        <v>0</v>
      </c>
      <c r="J65" s="146">
        <v>0</v>
      </c>
      <c r="K65" s="146">
        <v>73840.6</v>
      </c>
      <c r="L65" s="146">
        <v>90731.3</v>
      </c>
      <c r="M65" s="146">
        <f>10000+3993.1-3993.1</f>
        <v>10000</v>
      </c>
      <c r="N65" s="146">
        <f>3993.1-3993.1</f>
        <v>0</v>
      </c>
      <c r="O65" s="147"/>
      <c r="P65" s="147"/>
      <c r="Q65" s="146"/>
      <c r="R65" s="147"/>
      <c r="S65" s="148"/>
      <c r="T65" s="10">
        <f t="shared" si="0"/>
        <v>174571.90000000002</v>
      </c>
      <c r="U65" s="27">
        <v>0</v>
      </c>
      <c r="V65" s="27">
        <v>0</v>
      </c>
      <c r="W65" s="27">
        <v>73840.6</v>
      </c>
      <c r="X65" s="146">
        <v>90731.3</v>
      </c>
      <c r="Y65" s="146">
        <f>10000+3993.1-3993.1</f>
        <v>10000</v>
      </c>
      <c r="Z65" s="146">
        <f>3993.1-3993.1</f>
        <v>0</v>
      </c>
      <c r="AA65" s="260"/>
      <c r="AB65" s="260"/>
      <c r="AC65" s="260"/>
      <c r="AD65" s="260"/>
      <c r="AE65" s="261"/>
    </row>
    <row r="66" spans="1:31" ht="33" customHeight="1" thickBot="1">
      <c r="A66" s="112"/>
      <c r="B66" s="198"/>
      <c r="C66" s="101" t="s">
        <v>50</v>
      </c>
      <c r="D66" s="115"/>
      <c r="E66" s="115"/>
      <c r="F66" s="116"/>
      <c r="G66" s="199"/>
      <c r="H66" s="160"/>
      <c r="I66" s="104">
        <v>0</v>
      </c>
      <c r="J66" s="104">
        <v>0</v>
      </c>
      <c r="K66" s="104">
        <f>160.5</f>
        <v>160.5</v>
      </c>
      <c r="L66" s="104">
        <v>89.4</v>
      </c>
      <c r="M66" s="104">
        <v>9.9</v>
      </c>
      <c r="N66" s="104">
        <v>0</v>
      </c>
      <c r="O66" s="105"/>
      <c r="P66" s="105"/>
      <c r="Q66" s="104"/>
      <c r="R66" s="105"/>
      <c r="S66" s="106"/>
      <c r="T66" s="5">
        <f t="shared" si="0"/>
        <v>259.8</v>
      </c>
      <c r="U66" s="28">
        <v>0</v>
      </c>
      <c r="V66" s="28">
        <v>0</v>
      </c>
      <c r="W66" s="28">
        <f>160.5</f>
        <v>160.5</v>
      </c>
      <c r="X66" s="104">
        <v>89.4</v>
      </c>
      <c r="Y66" s="104">
        <v>9.9</v>
      </c>
      <c r="Z66" s="262">
        <v>0</v>
      </c>
      <c r="AA66" s="251"/>
      <c r="AB66" s="251"/>
      <c r="AC66" s="251"/>
      <c r="AD66" s="251"/>
      <c r="AE66" s="252"/>
    </row>
    <row r="67" spans="1:31" ht="169.5" thickBot="1">
      <c r="A67" s="120" t="s">
        <v>60</v>
      </c>
      <c r="B67" s="168" t="s">
        <v>308</v>
      </c>
      <c r="C67" s="114" t="s">
        <v>10</v>
      </c>
      <c r="D67" s="122" t="s">
        <v>5</v>
      </c>
      <c r="E67" s="122" t="s">
        <v>5</v>
      </c>
      <c r="F67" s="169" t="s">
        <v>17</v>
      </c>
      <c r="G67" s="114" t="s">
        <v>18</v>
      </c>
      <c r="H67" s="117">
        <f>23228.4+2558.6</f>
        <v>25787</v>
      </c>
      <c r="I67" s="117">
        <v>12649.1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8"/>
      <c r="P67" s="118"/>
      <c r="Q67" s="117"/>
      <c r="R67" s="118"/>
      <c r="S67" s="119"/>
      <c r="T67" s="6">
        <f t="shared" si="0"/>
        <v>12649.1</v>
      </c>
      <c r="U67" s="30">
        <v>12649.1</v>
      </c>
      <c r="V67" s="30">
        <v>0</v>
      </c>
      <c r="W67" s="30">
        <v>0</v>
      </c>
      <c r="X67" s="117">
        <v>0</v>
      </c>
      <c r="Y67" s="117">
        <v>0</v>
      </c>
      <c r="Z67" s="166">
        <v>0</v>
      </c>
      <c r="AA67" s="254"/>
      <c r="AB67" s="254"/>
      <c r="AC67" s="254"/>
      <c r="AD67" s="254"/>
      <c r="AE67" s="255"/>
    </row>
    <row r="68" spans="1:31" ht="57" thickBot="1">
      <c r="A68" s="120" t="s">
        <v>61</v>
      </c>
      <c r="B68" s="168" t="s">
        <v>31</v>
      </c>
      <c r="C68" s="114" t="s">
        <v>30</v>
      </c>
      <c r="D68" s="122" t="s">
        <v>5</v>
      </c>
      <c r="E68" s="122" t="s">
        <v>5</v>
      </c>
      <c r="F68" s="169" t="s">
        <v>17</v>
      </c>
      <c r="G68" s="114" t="s">
        <v>74</v>
      </c>
      <c r="H68" s="117">
        <f>SUM(I68:S68)</f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8"/>
      <c r="P68" s="118"/>
      <c r="Q68" s="117"/>
      <c r="R68" s="118"/>
      <c r="S68" s="119"/>
      <c r="T68" s="6">
        <f t="shared" si="0"/>
        <v>15000</v>
      </c>
      <c r="U68" s="30">
        <v>15000</v>
      </c>
      <c r="V68" s="30">
        <v>0</v>
      </c>
      <c r="W68" s="30">
        <v>0</v>
      </c>
      <c r="X68" s="117">
        <v>0</v>
      </c>
      <c r="Y68" s="117">
        <v>0</v>
      </c>
      <c r="Z68" s="166">
        <v>0</v>
      </c>
      <c r="AA68" s="254"/>
      <c r="AB68" s="254"/>
      <c r="AC68" s="254"/>
      <c r="AD68" s="254"/>
      <c r="AE68" s="255"/>
    </row>
    <row r="69" spans="1:31" ht="94.5" thickBot="1">
      <c r="A69" s="120" t="s">
        <v>62</v>
      </c>
      <c r="B69" s="168" t="s">
        <v>45</v>
      </c>
      <c r="C69" s="114" t="s">
        <v>35</v>
      </c>
      <c r="D69" s="122" t="s">
        <v>5</v>
      </c>
      <c r="E69" s="122" t="s">
        <v>5</v>
      </c>
      <c r="F69" s="169"/>
      <c r="G69" s="114" t="s">
        <v>74</v>
      </c>
      <c r="H69" s="117">
        <f>SUM(I69:S69)</f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8"/>
      <c r="P69" s="118"/>
      <c r="Q69" s="117"/>
      <c r="R69" s="118"/>
      <c r="S69" s="119"/>
      <c r="T69" s="6">
        <f t="shared" si="0"/>
        <v>10620.2</v>
      </c>
      <c r="U69" s="30">
        <v>10620.2</v>
      </c>
      <c r="V69" s="30">
        <v>0</v>
      </c>
      <c r="W69" s="30">
        <v>0</v>
      </c>
      <c r="X69" s="117">
        <v>0</v>
      </c>
      <c r="Y69" s="117">
        <v>0</v>
      </c>
      <c r="Z69" s="166">
        <v>0</v>
      </c>
      <c r="AA69" s="254"/>
      <c r="AB69" s="254"/>
      <c r="AC69" s="254"/>
      <c r="AD69" s="254"/>
      <c r="AE69" s="255"/>
    </row>
    <row r="70" spans="1:31" ht="56.25" customHeight="1">
      <c r="A70" s="107" t="s">
        <v>63</v>
      </c>
      <c r="B70" s="197" t="s">
        <v>81</v>
      </c>
      <c r="C70" s="165" t="s">
        <v>40</v>
      </c>
      <c r="D70" s="110" t="s">
        <v>5</v>
      </c>
      <c r="E70" s="110" t="s">
        <v>5</v>
      </c>
      <c r="F70" s="111">
        <f>849/1000</f>
        <v>0.849</v>
      </c>
      <c r="G70" s="200" t="s">
        <v>74</v>
      </c>
      <c r="H70" s="95">
        <f>SUM(I70:S71)</f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7"/>
      <c r="P70" s="137"/>
      <c r="Q70" s="136"/>
      <c r="R70" s="137"/>
      <c r="S70" s="138"/>
      <c r="T70" s="9">
        <f t="shared" si="0"/>
        <v>800.3</v>
      </c>
      <c r="U70" s="26">
        <v>800.3</v>
      </c>
      <c r="V70" s="26">
        <v>0</v>
      </c>
      <c r="W70" s="26">
        <v>0</v>
      </c>
      <c r="X70" s="136">
        <v>0</v>
      </c>
      <c r="Y70" s="136">
        <v>0</v>
      </c>
      <c r="Z70" s="158">
        <v>0</v>
      </c>
      <c r="AA70" s="258"/>
      <c r="AB70" s="258"/>
      <c r="AC70" s="258"/>
      <c r="AD70" s="258"/>
      <c r="AE70" s="259"/>
    </row>
    <row r="71" spans="1:31" s="14" customFormat="1" ht="93.75">
      <c r="A71" s="152"/>
      <c r="B71" s="192"/>
      <c r="C71" s="149" t="s">
        <v>110</v>
      </c>
      <c r="D71" s="154"/>
      <c r="E71" s="154"/>
      <c r="F71" s="155"/>
      <c r="G71" s="144"/>
      <c r="H71" s="145"/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7"/>
      <c r="P71" s="147"/>
      <c r="Q71" s="146"/>
      <c r="R71" s="147"/>
      <c r="S71" s="148"/>
      <c r="T71" s="10">
        <f t="shared" si="0"/>
        <v>74.3</v>
      </c>
      <c r="U71" s="27">
        <v>0</v>
      </c>
      <c r="V71" s="27">
        <v>0</v>
      </c>
      <c r="W71" s="27">
        <v>74.3</v>
      </c>
      <c r="X71" s="146">
        <v>0</v>
      </c>
      <c r="Y71" s="146">
        <v>0</v>
      </c>
      <c r="Z71" s="159">
        <v>0</v>
      </c>
      <c r="AA71" s="260"/>
      <c r="AB71" s="260"/>
      <c r="AC71" s="260"/>
      <c r="AD71" s="260"/>
      <c r="AE71" s="261"/>
    </row>
    <row r="72" spans="1:31" ht="75.75" thickBot="1">
      <c r="A72" s="112"/>
      <c r="B72" s="198"/>
      <c r="C72" s="114" t="s">
        <v>78</v>
      </c>
      <c r="D72" s="115"/>
      <c r="E72" s="115"/>
      <c r="F72" s="116"/>
      <c r="G72" s="114" t="s">
        <v>74</v>
      </c>
      <c r="H72" s="117">
        <f>SUM(I72:S72)</f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8"/>
      <c r="P72" s="118"/>
      <c r="Q72" s="117"/>
      <c r="R72" s="118"/>
      <c r="S72" s="119"/>
      <c r="T72" s="6">
        <f t="shared" si="0"/>
        <v>80</v>
      </c>
      <c r="U72" s="30">
        <v>0</v>
      </c>
      <c r="V72" s="30">
        <f>160-80</f>
        <v>80</v>
      </c>
      <c r="W72" s="30">
        <v>0</v>
      </c>
      <c r="X72" s="117">
        <v>0</v>
      </c>
      <c r="Y72" s="117">
        <v>0</v>
      </c>
      <c r="Z72" s="166">
        <v>0</v>
      </c>
      <c r="AA72" s="254"/>
      <c r="AB72" s="254"/>
      <c r="AC72" s="254"/>
      <c r="AD72" s="254"/>
      <c r="AE72" s="255"/>
    </row>
    <row r="73" spans="1:31" s="52" customFormat="1" ht="89.25" customHeight="1">
      <c r="A73" s="107" t="s">
        <v>64</v>
      </c>
      <c r="B73" s="108" t="s">
        <v>44</v>
      </c>
      <c r="C73" s="165" t="s">
        <v>41</v>
      </c>
      <c r="D73" s="110" t="s">
        <v>5</v>
      </c>
      <c r="E73" s="110" t="s">
        <v>5</v>
      </c>
      <c r="F73" s="111" t="s">
        <v>17</v>
      </c>
      <c r="G73" s="165" t="s">
        <v>74</v>
      </c>
      <c r="H73" s="136">
        <f>SUM(I73:S73)</f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7"/>
      <c r="P73" s="137"/>
      <c r="Q73" s="136"/>
      <c r="R73" s="137"/>
      <c r="S73" s="138"/>
      <c r="T73" s="46">
        <f t="shared" si="0"/>
        <v>1335</v>
      </c>
      <c r="U73" s="45">
        <v>1335</v>
      </c>
      <c r="V73" s="45">
        <v>0</v>
      </c>
      <c r="W73" s="45">
        <v>0</v>
      </c>
      <c r="X73" s="136">
        <v>0</v>
      </c>
      <c r="Y73" s="136">
        <v>0</v>
      </c>
      <c r="Z73" s="158">
        <v>0</v>
      </c>
      <c r="AA73" s="258"/>
      <c r="AB73" s="258"/>
      <c r="AC73" s="258"/>
      <c r="AD73" s="258"/>
      <c r="AE73" s="259"/>
    </row>
    <row r="74" spans="1:31" s="42" customFormat="1" ht="38.25" thickBot="1">
      <c r="A74" s="112"/>
      <c r="B74" s="113"/>
      <c r="C74" s="114" t="s">
        <v>8</v>
      </c>
      <c r="D74" s="115"/>
      <c r="E74" s="115"/>
      <c r="F74" s="116"/>
      <c r="G74" s="114" t="s">
        <v>151</v>
      </c>
      <c r="H74" s="117">
        <f>SUM(I74:S74)</f>
        <v>25115</v>
      </c>
      <c r="I74" s="117"/>
      <c r="J74" s="117"/>
      <c r="K74" s="117"/>
      <c r="L74" s="117"/>
      <c r="M74" s="117">
        <v>0</v>
      </c>
      <c r="N74" s="117">
        <v>0</v>
      </c>
      <c r="O74" s="117">
        <v>25115</v>
      </c>
      <c r="P74" s="117"/>
      <c r="Q74" s="117"/>
      <c r="R74" s="117"/>
      <c r="S74" s="201"/>
      <c r="T74" s="39"/>
      <c r="U74" s="38"/>
      <c r="V74" s="38"/>
      <c r="W74" s="38"/>
      <c r="X74" s="117"/>
      <c r="Y74" s="117"/>
      <c r="Z74" s="166"/>
      <c r="AA74" s="268"/>
      <c r="AB74" s="268"/>
      <c r="AC74" s="268"/>
      <c r="AD74" s="268"/>
      <c r="AE74" s="269"/>
    </row>
    <row r="75" spans="1:31" ht="18.75">
      <c r="A75" s="91" t="s">
        <v>65</v>
      </c>
      <c r="B75" s="92" t="s">
        <v>53</v>
      </c>
      <c r="C75" s="93" t="s">
        <v>90</v>
      </c>
      <c r="D75" s="94" t="s">
        <v>5</v>
      </c>
      <c r="E75" s="94" t="s">
        <v>5</v>
      </c>
      <c r="F75" s="111"/>
      <c r="G75" s="93" t="s">
        <v>74</v>
      </c>
      <c r="H75" s="96" t="s">
        <v>74</v>
      </c>
      <c r="I75" s="96">
        <v>0</v>
      </c>
      <c r="J75" s="96">
        <v>0</v>
      </c>
      <c r="K75" s="96">
        <v>0</v>
      </c>
      <c r="L75" s="96">
        <v>0</v>
      </c>
      <c r="M75" s="96">
        <v>0</v>
      </c>
      <c r="N75" s="96">
        <v>0</v>
      </c>
      <c r="O75" s="147"/>
      <c r="P75" s="147"/>
      <c r="Q75" s="146"/>
      <c r="R75" s="147"/>
      <c r="S75" s="148"/>
      <c r="T75" s="4">
        <f t="shared" si="0"/>
        <v>0</v>
      </c>
      <c r="U75" s="31">
        <v>0</v>
      </c>
      <c r="V75" s="31">
        <v>0</v>
      </c>
      <c r="W75" s="31">
        <f>451.7-451.7</f>
        <v>0</v>
      </c>
      <c r="X75" s="96">
        <v>0</v>
      </c>
      <c r="Y75" s="96">
        <v>0</v>
      </c>
      <c r="Z75" s="253">
        <v>0</v>
      </c>
      <c r="AA75" s="260"/>
      <c r="AB75" s="260"/>
      <c r="AC75" s="260"/>
      <c r="AD75" s="260"/>
      <c r="AE75" s="261"/>
    </row>
    <row r="76" spans="1:31" ht="93.75">
      <c r="A76" s="139"/>
      <c r="B76" s="140"/>
      <c r="C76" s="149" t="s">
        <v>107</v>
      </c>
      <c r="D76" s="142"/>
      <c r="E76" s="142"/>
      <c r="F76" s="155"/>
      <c r="G76" s="149"/>
      <c r="H76" s="146"/>
      <c r="I76" s="146">
        <v>0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47"/>
      <c r="P76" s="147"/>
      <c r="Q76" s="146"/>
      <c r="R76" s="147"/>
      <c r="S76" s="148"/>
      <c r="T76" s="10">
        <f t="shared" si="0"/>
        <v>52.3</v>
      </c>
      <c r="U76" s="27">
        <v>0</v>
      </c>
      <c r="V76" s="27">
        <v>0</v>
      </c>
      <c r="W76" s="27">
        <f>100-47.7</f>
        <v>52.3</v>
      </c>
      <c r="X76" s="146">
        <v>0</v>
      </c>
      <c r="Y76" s="146">
        <v>0</v>
      </c>
      <c r="Z76" s="159">
        <v>0</v>
      </c>
      <c r="AA76" s="260"/>
      <c r="AB76" s="260"/>
      <c r="AC76" s="260"/>
      <c r="AD76" s="260"/>
      <c r="AE76" s="261"/>
    </row>
    <row r="77" spans="1:31" ht="18.75">
      <c r="A77" s="139"/>
      <c r="B77" s="140"/>
      <c r="C77" s="141" t="s">
        <v>50</v>
      </c>
      <c r="D77" s="142"/>
      <c r="E77" s="142"/>
      <c r="F77" s="155"/>
      <c r="G77" s="190" t="s">
        <v>151</v>
      </c>
      <c r="H77" s="191">
        <f>SUM(I77:S79)</f>
        <v>31256.8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147"/>
      <c r="P77" s="147"/>
      <c r="Q77" s="146"/>
      <c r="R77" s="147"/>
      <c r="S77" s="148"/>
      <c r="T77" s="10">
        <f t="shared" si="0"/>
        <v>0</v>
      </c>
      <c r="U77" s="27">
        <v>0</v>
      </c>
      <c r="V77" s="27">
        <v>0</v>
      </c>
      <c r="W77" s="27">
        <v>0</v>
      </c>
      <c r="X77" s="146">
        <v>0</v>
      </c>
      <c r="Y77" s="146">
        <v>0</v>
      </c>
      <c r="Z77" s="159">
        <v>0</v>
      </c>
      <c r="AA77" s="260"/>
      <c r="AB77" s="260"/>
      <c r="AC77" s="260"/>
      <c r="AD77" s="260"/>
      <c r="AE77" s="261"/>
    </row>
    <row r="78" spans="1:31" ht="18.75">
      <c r="A78" s="139"/>
      <c r="B78" s="140"/>
      <c r="C78" s="149" t="s">
        <v>67</v>
      </c>
      <c r="D78" s="142"/>
      <c r="E78" s="142"/>
      <c r="F78" s="155"/>
      <c r="G78" s="156"/>
      <c r="H78" s="157"/>
      <c r="I78" s="146">
        <v>0</v>
      </c>
      <c r="J78" s="146">
        <v>0</v>
      </c>
      <c r="K78" s="146">
        <v>0</v>
      </c>
      <c r="L78" s="146">
        <v>0</v>
      </c>
      <c r="M78" s="146">
        <v>0</v>
      </c>
      <c r="N78" s="146">
        <v>0</v>
      </c>
      <c r="O78" s="147"/>
      <c r="P78" s="147"/>
      <c r="Q78" s="146"/>
      <c r="R78" s="147"/>
      <c r="S78" s="148"/>
      <c r="T78" s="10">
        <f t="shared" si="0"/>
        <v>0</v>
      </c>
      <c r="U78" s="27">
        <v>0</v>
      </c>
      <c r="V78" s="27">
        <v>0</v>
      </c>
      <c r="W78" s="27">
        <v>0</v>
      </c>
      <c r="X78" s="146">
        <v>0</v>
      </c>
      <c r="Y78" s="146">
        <v>0</v>
      </c>
      <c r="Z78" s="159">
        <v>0</v>
      </c>
      <c r="AA78" s="260"/>
      <c r="AB78" s="260"/>
      <c r="AC78" s="260"/>
      <c r="AD78" s="260"/>
      <c r="AE78" s="261"/>
    </row>
    <row r="79" spans="1:31" s="20" customFormat="1" ht="37.5">
      <c r="A79" s="139"/>
      <c r="B79" s="140"/>
      <c r="C79" s="165" t="s">
        <v>8</v>
      </c>
      <c r="D79" s="142"/>
      <c r="E79" s="142"/>
      <c r="F79" s="155"/>
      <c r="G79" s="134"/>
      <c r="H79" s="135"/>
      <c r="I79" s="146">
        <v>0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46">
        <v>31256.8</v>
      </c>
      <c r="P79" s="146"/>
      <c r="Q79" s="146"/>
      <c r="R79" s="146"/>
      <c r="S79" s="202"/>
      <c r="T79" s="23">
        <f>U79+V79+W79+X79+Y79+Z79+AA79</f>
        <v>31256.8</v>
      </c>
      <c r="U79" s="27">
        <v>0</v>
      </c>
      <c r="V79" s="27">
        <v>0</v>
      </c>
      <c r="W79" s="27">
        <v>0</v>
      </c>
      <c r="X79" s="146">
        <v>0</v>
      </c>
      <c r="Y79" s="146">
        <v>0</v>
      </c>
      <c r="Z79" s="159">
        <v>0</v>
      </c>
      <c r="AA79" s="146">
        <v>31256.8</v>
      </c>
      <c r="AB79" s="270"/>
      <c r="AC79" s="270"/>
      <c r="AD79" s="270"/>
      <c r="AE79" s="271"/>
    </row>
    <row r="80" spans="1:31" ht="38.25" thickBot="1">
      <c r="A80" s="99"/>
      <c r="B80" s="100"/>
      <c r="C80" s="167" t="s">
        <v>66</v>
      </c>
      <c r="D80" s="102"/>
      <c r="E80" s="102"/>
      <c r="F80" s="116"/>
      <c r="G80" s="167" t="s">
        <v>74</v>
      </c>
      <c r="H80" s="104" t="s">
        <v>74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5"/>
      <c r="P80" s="105"/>
      <c r="Q80" s="104"/>
      <c r="R80" s="105"/>
      <c r="S80" s="106"/>
      <c r="T80" s="6">
        <f>U80+V80+W80+X80+Y80+Z80</f>
        <v>950</v>
      </c>
      <c r="U80" s="28">
        <v>0</v>
      </c>
      <c r="V80" s="28">
        <f>950-950</f>
        <v>0</v>
      </c>
      <c r="W80" s="28">
        <v>950</v>
      </c>
      <c r="X80" s="104">
        <v>0</v>
      </c>
      <c r="Y80" s="104">
        <v>0</v>
      </c>
      <c r="Z80" s="262">
        <v>0</v>
      </c>
      <c r="AA80" s="251"/>
      <c r="AB80" s="251"/>
      <c r="AC80" s="251"/>
      <c r="AD80" s="251"/>
      <c r="AE80" s="252"/>
    </row>
    <row r="81" spans="1:31" s="37" customFormat="1" ht="57" customHeight="1">
      <c r="A81" s="107" t="s">
        <v>86</v>
      </c>
      <c r="B81" s="108" t="s">
        <v>92</v>
      </c>
      <c r="C81" s="93" t="s">
        <v>66</v>
      </c>
      <c r="D81" s="110" t="s">
        <v>5</v>
      </c>
      <c r="E81" s="110" t="s">
        <v>5</v>
      </c>
      <c r="F81" s="111">
        <f>148/1000</f>
        <v>0.148</v>
      </c>
      <c r="G81" s="93" t="s">
        <v>74</v>
      </c>
      <c r="H81" s="96">
        <f>SUM(I81:S81)</f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7"/>
      <c r="P81" s="97"/>
      <c r="Q81" s="96"/>
      <c r="R81" s="97"/>
      <c r="S81" s="98"/>
      <c r="T81" s="36">
        <f t="shared" si="0"/>
        <v>775</v>
      </c>
      <c r="U81" s="35">
        <v>0</v>
      </c>
      <c r="V81" s="35">
        <v>0</v>
      </c>
      <c r="W81" s="35">
        <v>775</v>
      </c>
      <c r="X81" s="96">
        <v>0</v>
      </c>
      <c r="Y81" s="96">
        <v>0</v>
      </c>
      <c r="Z81" s="253">
        <v>0</v>
      </c>
      <c r="AA81" s="249"/>
      <c r="AB81" s="249"/>
      <c r="AC81" s="249"/>
      <c r="AD81" s="249"/>
      <c r="AE81" s="250"/>
    </row>
    <row r="82" spans="1:31" s="42" customFormat="1" ht="38.25" thickBot="1">
      <c r="A82" s="112"/>
      <c r="B82" s="113"/>
      <c r="C82" s="114" t="s">
        <v>8</v>
      </c>
      <c r="D82" s="115"/>
      <c r="E82" s="115"/>
      <c r="F82" s="116"/>
      <c r="G82" s="114" t="s">
        <v>151</v>
      </c>
      <c r="H82" s="117"/>
      <c r="I82" s="117"/>
      <c r="J82" s="117"/>
      <c r="K82" s="117"/>
      <c r="L82" s="117"/>
      <c r="M82" s="117"/>
      <c r="N82" s="117"/>
      <c r="O82" s="117">
        <v>42809.5</v>
      </c>
      <c r="P82" s="117"/>
      <c r="Q82" s="117"/>
      <c r="R82" s="117"/>
      <c r="S82" s="201"/>
      <c r="T82" s="39"/>
      <c r="U82" s="38"/>
      <c r="V82" s="38"/>
      <c r="W82" s="38"/>
      <c r="X82" s="117"/>
      <c r="Y82" s="117"/>
      <c r="Z82" s="166"/>
      <c r="AA82" s="268"/>
      <c r="AB82" s="268"/>
      <c r="AC82" s="268"/>
      <c r="AD82" s="268"/>
      <c r="AE82" s="269"/>
    </row>
    <row r="83" spans="1:31" ht="45.75" customHeight="1">
      <c r="A83" s="107" t="s">
        <v>75</v>
      </c>
      <c r="B83" s="108" t="s">
        <v>93</v>
      </c>
      <c r="C83" s="93" t="s">
        <v>66</v>
      </c>
      <c r="D83" s="110" t="s">
        <v>5</v>
      </c>
      <c r="E83" s="110" t="s">
        <v>5</v>
      </c>
      <c r="F83" s="111">
        <f>4094/1000</f>
        <v>4.094</v>
      </c>
      <c r="G83" s="109" t="s">
        <v>73</v>
      </c>
      <c r="H83" s="96">
        <f>SUM(I83:S83)</f>
        <v>0</v>
      </c>
      <c r="I83" s="96">
        <v>0</v>
      </c>
      <c r="J83" s="96">
        <v>0</v>
      </c>
      <c r="K83" s="96">
        <v>0</v>
      </c>
      <c r="L83" s="96">
        <v>0</v>
      </c>
      <c r="M83" s="96">
        <v>0</v>
      </c>
      <c r="N83" s="96">
        <v>0</v>
      </c>
      <c r="O83" s="97"/>
      <c r="P83" s="97"/>
      <c r="Q83" s="96"/>
      <c r="R83" s="97"/>
      <c r="S83" s="98"/>
      <c r="T83" s="4">
        <f t="shared" si="0"/>
        <v>1648.5</v>
      </c>
      <c r="U83" s="31">
        <v>0</v>
      </c>
      <c r="V83" s="31">
        <f>1000-137.1-77.9-785</f>
        <v>0</v>
      </c>
      <c r="W83" s="31">
        <v>785</v>
      </c>
      <c r="X83" s="96">
        <f>785+78.5</f>
        <v>863.5</v>
      </c>
      <c r="Y83" s="96">
        <v>0</v>
      </c>
      <c r="Z83" s="253">
        <v>0</v>
      </c>
      <c r="AA83" s="249"/>
      <c r="AB83" s="249"/>
      <c r="AC83" s="249"/>
      <c r="AD83" s="249"/>
      <c r="AE83" s="250"/>
    </row>
    <row r="84" spans="1:31" ht="38.25" thickBot="1">
      <c r="A84" s="112"/>
      <c r="B84" s="113"/>
      <c r="C84" s="114" t="s">
        <v>8</v>
      </c>
      <c r="D84" s="115"/>
      <c r="E84" s="115"/>
      <c r="F84" s="116"/>
      <c r="G84" s="114" t="s">
        <v>74</v>
      </c>
      <c r="H84" s="117">
        <f>SUM(I84:S84)</f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0</v>
      </c>
      <c r="O84" s="118"/>
      <c r="P84" s="118"/>
      <c r="Q84" s="117"/>
      <c r="R84" s="118"/>
      <c r="S84" s="119"/>
      <c r="T84" s="6"/>
      <c r="U84" s="30"/>
      <c r="V84" s="30"/>
      <c r="W84" s="30"/>
      <c r="X84" s="117"/>
      <c r="Y84" s="117"/>
      <c r="Z84" s="166"/>
      <c r="AA84" s="254"/>
      <c r="AB84" s="254"/>
      <c r="AC84" s="254"/>
      <c r="AD84" s="254"/>
      <c r="AE84" s="255"/>
    </row>
    <row r="85" spans="1:31" ht="79.5" customHeight="1" thickBot="1">
      <c r="A85" s="120" t="s">
        <v>88</v>
      </c>
      <c r="B85" s="203" t="s">
        <v>94</v>
      </c>
      <c r="C85" s="114" t="s">
        <v>8</v>
      </c>
      <c r="D85" s="122" t="s">
        <v>5</v>
      </c>
      <c r="E85" s="122" t="s">
        <v>5</v>
      </c>
      <c r="F85" s="169">
        <f>615/1000</f>
        <v>0.615</v>
      </c>
      <c r="G85" s="114" t="s">
        <v>95</v>
      </c>
      <c r="H85" s="117">
        <f>I85+J85+K85+L85+M85+N85+O85+P85+Q85+R85+S85</f>
        <v>7924.199999999998</v>
      </c>
      <c r="I85" s="117">
        <v>0</v>
      </c>
      <c r="J85" s="117">
        <f>7900.6-1940.6-5960</f>
        <v>0</v>
      </c>
      <c r="K85" s="117">
        <f>9027-351.1-250.7-142.2-21.2-495.7</f>
        <v>7766.099999999998</v>
      </c>
      <c r="L85" s="117">
        <v>158.1</v>
      </c>
      <c r="M85" s="117">
        <v>0</v>
      </c>
      <c r="N85" s="117">
        <v>0</v>
      </c>
      <c r="O85" s="118"/>
      <c r="P85" s="118"/>
      <c r="Q85" s="117"/>
      <c r="R85" s="118"/>
      <c r="S85" s="119"/>
      <c r="T85" s="6">
        <f t="shared" si="0"/>
        <v>7924.199999999998</v>
      </c>
      <c r="U85" s="30">
        <v>0</v>
      </c>
      <c r="V85" s="30">
        <f>7900.6-1940.6-5960</f>
        <v>0</v>
      </c>
      <c r="W85" s="30">
        <f>9027-351.1-250.7-142.2-21.2-495.7</f>
        <v>7766.099999999998</v>
      </c>
      <c r="X85" s="117">
        <v>158.1</v>
      </c>
      <c r="Y85" s="117">
        <v>0</v>
      </c>
      <c r="Z85" s="166">
        <v>0</v>
      </c>
      <c r="AA85" s="254"/>
      <c r="AB85" s="254"/>
      <c r="AC85" s="254"/>
      <c r="AD85" s="254"/>
      <c r="AE85" s="255"/>
    </row>
    <row r="86" spans="1:31" s="37" customFormat="1" ht="79.5" customHeight="1" thickBot="1">
      <c r="A86" s="204" t="s">
        <v>89</v>
      </c>
      <c r="B86" s="205" t="s">
        <v>193</v>
      </c>
      <c r="C86" s="206" t="s">
        <v>66</v>
      </c>
      <c r="D86" s="161" t="s">
        <v>5</v>
      </c>
      <c r="E86" s="161" t="s">
        <v>5</v>
      </c>
      <c r="F86" s="207">
        <f>1800/1000</f>
        <v>1.8</v>
      </c>
      <c r="G86" s="206" t="s">
        <v>74</v>
      </c>
      <c r="H86" s="162">
        <f>SUM(I86:S86)</f>
        <v>1200</v>
      </c>
      <c r="I86" s="162"/>
      <c r="J86" s="162"/>
      <c r="K86" s="162"/>
      <c r="L86" s="162"/>
      <c r="M86" s="162"/>
      <c r="N86" s="162"/>
      <c r="O86" s="163"/>
      <c r="P86" s="162"/>
      <c r="Q86" s="162"/>
      <c r="R86" s="162">
        <v>1200</v>
      </c>
      <c r="S86" s="164"/>
      <c r="T86" s="41"/>
      <c r="U86" s="40"/>
      <c r="V86" s="40"/>
      <c r="W86" s="40"/>
      <c r="X86" s="162"/>
      <c r="Y86" s="162"/>
      <c r="Z86" s="272"/>
      <c r="AA86" s="263"/>
      <c r="AB86" s="263"/>
      <c r="AC86" s="263"/>
      <c r="AD86" s="263"/>
      <c r="AE86" s="264"/>
    </row>
    <row r="87" spans="1:31" ht="81.75" customHeight="1" thickBot="1">
      <c r="A87" s="123" t="s">
        <v>91</v>
      </c>
      <c r="B87" s="124" t="s">
        <v>54</v>
      </c>
      <c r="C87" s="171" t="s">
        <v>66</v>
      </c>
      <c r="D87" s="125" t="s">
        <v>5</v>
      </c>
      <c r="E87" s="125" t="s">
        <v>5</v>
      </c>
      <c r="F87" s="125">
        <f>725.25/1000</f>
        <v>0.72525</v>
      </c>
      <c r="G87" s="171" t="s">
        <v>74</v>
      </c>
      <c r="H87" s="126">
        <f>SUM(I87:S87)</f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7"/>
      <c r="P87" s="127"/>
      <c r="Q87" s="126"/>
      <c r="R87" s="127"/>
      <c r="S87" s="128"/>
      <c r="T87" s="8">
        <f t="shared" si="0"/>
        <v>2800</v>
      </c>
      <c r="U87" s="7">
        <v>0</v>
      </c>
      <c r="V87" s="7">
        <v>2800</v>
      </c>
      <c r="W87" s="7">
        <v>0</v>
      </c>
      <c r="X87" s="126">
        <v>0</v>
      </c>
      <c r="Y87" s="126">
        <v>0</v>
      </c>
      <c r="Z87" s="228">
        <v>0</v>
      </c>
      <c r="AA87" s="256"/>
      <c r="AB87" s="256"/>
      <c r="AC87" s="256"/>
      <c r="AD87" s="256"/>
      <c r="AE87" s="257"/>
    </row>
    <row r="88" spans="1:31" ht="70.5" customHeight="1" thickBot="1">
      <c r="A88" s="120" t="s">
        <v>99</v>
      </c>
      <c r="B88" s="121" t="s">
        <v>55</v>
      </c>
      <c r="C88" s="114" t="s">
        <v>41</v>
      </c>
      <c r="D88" s="122" t="s">
        <v>56</v>
      </c>
      <c r="E88" s="122" t="s">
        <v>56</v>
      </c>
      <c r="F88" s="169" t="s">
        <v>17</v>
      </c>
      <c r="G88" s="114" t="s">
        <v>74</v>
      </c>
      <c r="H88" s="117">
        <f>SUM(I88:S88)</f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8"/>
      <c r="P88" s="118"/>
      <c r="Q88" s="117"/>
      <c r="R88" s="118"/>
      <c r="S88" s="119"/>
      <c r="T88" s="6">
        <f t="shared" si="0"/>
        <v>2600</v>
      </c>
      <c r="U88" s="30">
        <v>0</v>
      </c>
      <c r="V88" s="30">
        <v>2600</v>
      </c>
      <c r="W88" s="30">
        <v>0</v>
      </c>
      <c r="X88" s="117">
        <v>0</v>
      </c>
      <c r="Y88" s="117">
        <v>0</v>
      </c>
      <c r="Z88" s="166">
        <v>0</v>
      </c>
      <c r="AA88" s="254"/>
      <c r="AB88" s="254"/>
      <c r="AC88" s="254"/>
      <c r="AD88" s="254"/>
      <c r="AE88" s="255"/>
    </row>
    <row r="89" spans="1:31" ht="150" customHeight="1" thickBot="1">
      <c r="A89" s="120" t="s">
        <v>100</v>
      </c>
      <c r="B89" s="55" t="s">
        <v>76</v>
      </c>
      <c r="C89" s="114" t="s">
        <v>77</v>
      </c>
      <c r="D89" s="122" t="s">
        <v>5</v>
      </c>
      <c r="E89" s="122" t="s">
        <v>5</v>
      </c>
      <c r="F89" s="169" t="s">
        <v>74</v>
      </c>
      <c r="G89" s="114" t="s">
        <v>74</v>
      </c>
      <c r="H89" s="117">
        <f>SUM(I89:S89)</f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8"/>
      <c r="P89" s="118"/>
      <c r="Q89" s="117"/>
      <c r="R89" s="118"/>
      <c r="S89" s="119"/>
      <c r="T89" s="6">
        <f>U89+V89+W89+X89+Y89+Z89</f>
        <v>98</v>
      </c>
      <c r="U89" s="30">
        <v>0</v>
      </c>
      <c r="V89" s="30">
        <v>98</v>
      </c>
      <c r="W89" s="30">
        <v>0</v>
      </c>
      <c r="X89" s="117">
        <v>0</v>
      </c>
      <c r="Y89" s="117">
        <v>0</v>
      </c>
      <c r="Z89" s="166">
        <v>0</v>
      </c>
      <c r="AA89" s="254"/>
      <c r="AB89" s="254"/>
      <c r="AC89" s="254"/>
      <c r="AD89" s="254"/>
      <c r="AE89" s="255"/>
    </row>
    <row r="90" spans="1:31" s="37" customFormat="1" ht="150" customHeight="1" thickBot="1">
      <c r="A90" s="120" t="s">
        <v>111</v>
      </c>
      <c r="B90" s="121" t="s">
        <v>199</v>
      </c>
      <c r="C90" s="206" t="s">
        <v>66</v>
      </c>
      <c r="D90" s="122" t="s">
        <v>5</v>
      </c>
      <c r="E90" s="122" t="s">
        <v>5</v>
      </c>
      <c r="F90" s="169" t="s">
        <v>74</v>
      </c>
      <c r="G90" s="114" t="s">
        <v>74</v>
      </c>
      <c r="H90" s="117">
        <f>SUM(I90:S90)</f>
        <v>1700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8">
        <v>0</v>
      </c>
      <c r="P90" s="118"/>
      <c r="Q90" s="117"/>
      <c r="R90" s="117">
        <v>1700</v>
      </c>
      <c r="S90" s="119"/>
      <c r="T90" s="39"/>
      <c r="U90" s="38"/>
      <c r="V90" s="38"/>
      <c r="W90" s="38"/>
      <c r="X90" s="117"/>
      <c r="Y90" s="117"/>
      <c r="Z90" s="166"/>
      <c r="AA90" s="254"/>
      <c r="AB90" s="254"/>
      <c r="AC90" s="254"/>
      <c r="AD90" s="254"/>
      <c r="AE90" s="255"/>
    </row>
    <row r="91" spans="1:31" ht="18.75">
      <c r="A91" s="129" t="s">
        <v>113</v>
      </c>
      <c r="B91" s="130" t="s">
        <v>80</v>
      </c>
      <c r="C91" s="93" t="s">
        <v>79</v>
      </c>
      <c r="D91" s="132" t="s">
        <v>5</v>
      </c>
      <c r="E91" s="132" t="s">
        <v>5</v>
      </c>
      <c r="F91" s="133" t="s">
        <v>74</v>
      </c>
      <c r="G91" s="134" t="s">
        <v>74</v>
      </c>
      <c r="H91" s="135">
        <f>SUM(I91:S93)</f>
        <v>521.3</v>
      </c>
      <c r="I91" s="136">
        <v>0</v>
      </c>
      <c r="J91" s="136">
        <v>521.3</v>
      </c>
      <c r="K91" s="136">
        <v>0</v>
      </c>
      <c r="L91" s="136">
        <v>0</v>
      </c>
      <c r="M91" s="136">
        <v>0</v>
      </c>
      <c r="N91" s="136">
        <v>0</v>
      </c>
      <c r="O91" s="137"/>
      <c r="P91" s="137"/>
      <c r="Q91" s="136"/>
      <c r="R91" s="137"/>
      <c r="S91" s="138"/>
      <c r="T91" s="9">
        <f aca="true" t="shared" si="1" ref="T91:T101">U91+V91+W91+X91+Y91+Z91</f>
        <v>521.3</v>
      </c>
      <c r="U91" s="26">
        <v>0</v>
      </c>
      <c r="V91" s="26">
        <f>2500-1978.7</f>
        <v>521.3</v>
      </c>
      <c r="W91" s="26">
        <v>0</v>
      </c>
      <c r="X91" s="136">
        <v>0</v>
      </c>
      <c r="Y91" s="136">
        <v>0</v>
      </c>
      <c r="Z91" s="158">
        <v>0</v>
      </c>
      <c r="AA91" s="258"/>
      <c r="AB91" s="258"/>
      <c r="AC91" s="258"/>
      <c r="AD91" s="258"/>
      <c r="AE91" s="259"/>
    </row>
    <row r="92" spans="1:31" ht="37.5">
      <c r="A92" s="139"/>
      <c r="B92" s="140"/>
      <c r="C92" s="149" t="s">
        <v>97</v>
      </c>
      <c r="D92" s="142"/>
      <c r="E92" s="142"/>
      <c r="F92" s="143"/>
      <c r="G92" s="144"/>
      <c r="H92" s="145"/>
      <c r="I92" s="146">
        <v>0</v>
      </c>
      <c r="J92" s="146">
        <v>0</v>
      </c>
      <c r="K92" s="146">
        <v>0</v>
      </c>
      <c r="L92" s="146">
        <v>0</v>
      </c>
      <c r="M92" s="146">
        <v>0</v>
      </c>
      <c r="N92" s="146">
        <v>0</v>
      </c>
      <c r="O92" s="147"/>
      <c r="P92" s="147"/>
      <c r="Q92" s="146"/>
      <c r="R92" s="147"/>
      <c r="S92" s="148"/>
      <c r="T92" s="10">
        <f t="shared" si="1"/>
        <v>85</v>
      </c>
      <c r="U92" s="27">
        <v>0</v>
      </c>
      <c r="V92" s="27">
        <v>0</v>
      </c>
      <c r="W92" s="27">
        <v>85</v>
      </c>
      <c r="X92" s="146">
        <v>0</v>
      </c>
      <c r="Y92" s="146">
        <v>0</v>
      </c>
      <c r="Z92" s="159">
        <v>0</v>
      </c>
      <c r="AA92" s="260"/>
      <c r="AB92" s="260"/>
      <c r="AC92" s="260"/>
      <c r="AD92" s="260"/>
      <c r="AE92" s="261"/>
    </row>
    <row r="93" spans="1:31" ht="38.25" thickBot="1">
      <c r="A93" s="99"/>
      <c r="B93" s="100"/>
      <c r="C93" s="167" t="s">
        <v>109</v>
      </c>
      <c r="D93" s="102"/>
      <c r="E93" s="102"/>
      <c r="F93" s="150"/>
      <c r="G93" s="151"/>
      <c r="H93" s="103"/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5"/>
      <c r="P93" s="105"/>
      <c r="Q93" s="104"/>
      <c r="R93" s="105"/>
      <c r="S93" s="106"/>
      <c r="T93" s="5">
        <f t="shared" si="1"/>
        <v>30</v>
      </c>
      <c r="U93" s="28">
        <v>0</v>
      </c>
      <c r="V93" s="28">
        <v>0</v>
      </c>
      <c r="W93" s="28">
        <v>30</v>
      </c>
      <c r="X93" s="104">
        <v>0</v>
      </c>
      <c r="Y93" s="104">
        <v>0</v>
      </c>
      <c r="Z93" s="262">
        <v>0</v>
      </c>
      <c r="AA93" s="251"/>
      <c r="AB93" s="251"/>
      <c r="AC93" s="251"/>
      <c r="AD93" s="251"/>
      <c r="AE93" s="252"/>
    </row>
    <row r="94" spans="1:31" ht="18.75">
      <c r="A94" s="129" t="s">
        <v>115</v>
      </c>
      <c r="B94" s="130" t="s">
        <v>82</v>
      </c>
      <c r="C94" s="165" t="s">
        <v>84</v>
      </c>
      <c r="D94" s="132" t="s">
        <v>85</v>
      </c>
      <c r="E94" s="132" t="s">
        <v>85</v>
      </c>
      <c r="F94" s="133" t="s">
        <v>74</v>
      </c>
      <c r="G94" s="134" t="s">
        <v>74</v>
      </c>
      <c r="H94" s="135">
        <f>SUM(I94:S95)</f>
        <v>35010</v>
      </c>
      <c r="I94" s="136">
        <v>0</v>
      </c>
      <c r="J94" s="136">
        <v>35000</v>
      </c>
      <c r="K94" s="136">
        <v>0</v>
      </c>
      <c r="L94" s="136">
        <v>0</v>
      </c>
      <c r="M94" s="136">
        <v>0</v>
      </c>
      <c r="N94" s="136">
        <v>0</v>
      </c>
      <c r="O94" s="137"/>
      <c r="P94" s="137"/>
      <c r="Q94" s="136"/>
      <c r="R94" s="137"/>
      <c r="S94" s="138"/>
      <c r="T94" s="9">
        <f t="shared" si="1"/>
        <v>35000</v>
      </c>
      <c r="U94" s="26">
        <v>0</v>
      </c>
      <c r="V94" s="26">
        <v>35000</v>
      </c>
      <c r="W94" s="26">
        <v>0</v>
      </c>
      <c r="X94" s="136">
        <v>0</v>
      </c>
      <c r="Y94" s="136">
        <v>0</v>
      </c>
      <c r="Z94" s="158">
        <v>0</v>
      </c>
      <c r="AA94" s="258"/>
      <c r="AB94" s="258"/>
      <c r="AC94" s="258"/>
      <c r="AD94" s="258"/>
      <c r="AE94" s="259"/>
    </row>
    <row r="95" spans="1:31" ht="111.75" customHeight="1" thickBot="1">
      <c r="A95" s="99"/>
      <c r="B95" s="100"/>
      <c r="C95" s="167" t="s">
        <v>87</v>
      </c>
      <c r="D95" s="102"/>
      <c r="E95" s="102"/>
      <c r="F95" s="150"/>
      <c r="G95" s="151"/>
      <c r="H95" s="103"/>
      <c r="I95" s="104">
        <v>0</v>
      </c>
      <c r="J95" s="104">
        <v>10</v>
      </c>
      <c r="K95" s="104">
        <v>0</v>
      </c>
      <c r="L95" s="104">
        <v>0</v>
      </c>
      <c r="M95" s="104">
        <v>0</v>
      </c>
      <c r="N95" s="104">
        <v>0</v>
      </c>
      <c r="O95" s="105"/>
      <c r="P95" s="105"/>
      <c r="Q95" s="104"/>
      <c r="R95" s="105"/>
      <c r="S95" s="106"/>
      <c r="T95" s="5">
        <f t="shared" si="1"/>
        <v>10</v>
      </c>
      <c r="U95" s="28">
        <v>0</v>
      </c>
      <c r="V95" s="28">
        <v>10</v>
      </c>
      <c r="W95" s="28">
        <v>0</v>
      </c>
      <c r="X95" s="104">
        <v>0</v>
      </c>
      <c r="Y95" s="104">
        <v>0</v>
      </c>
      <c r="Z95" s="262">
        <v>0</v>
      </c>
      <c r="AA95" s="251"/>
      <c r="AB95" s="251"/>
      <c r="AC95" s="251"/>
      <c r="AD95" s="251"/>
      <c r="AE95" s="252"/>
    </row>
    <row r="96" spans="1:31" ht="18.75">
      <c r="A96" s="129" t="s">
        <v>129</v>
      </c>
      <c r="B96" s="130" t="s">
        <v>83</v>
      </c>
      <c r="C96" s="165" t="s">
        <v>84</v>
      </c>
      <c r="D96" s="132" t="s">
        <v>85</v>
      </c>
      <c r="E96" s="132" t="s">
        <v>85</v>
      </c>
      <c r="F96" s="133" t="s">
        <v>74</v>
      </c>
      <c r="G96" s="134" t="s">
        <v>74</v>
      </c>
      <c r="H96" s="135">
        <f>SUM(I96:S97)</f>
        <v>73285.20999999999</v>
      </c>
      <c r="I96" s="136">
        <v>0</v>
      </c>
      <c r="J96" s="136">
        <v>36300</v>
      </c>
      <c r="K96" s="136">
        <v>36975.21</v>
      </c>
      <c r="L96" s="136">
        <v>0</v>
      </c>
      <c r="M96" s="136">
        <v>0</v>
      </c>
      <c r="N96" s="136">
        <v>0</v>
      </c>
      <c r="O96" s="137"/>
      <c r="P96" s="137"/>
      <c r="Q96" s="136"/>
      <c r="R96" s="137"/>
      <c r="S96" s="138"/>
      <c r="T96" s="9">
        <f t="shared" si="1"/>
        <v>73275.2</v>
      </c>
      <c r="U96" s="26">
        <v>0</v>
      </c>
      <c r="V96" s="26">
        <v>36300</v>
      </c>
      <c r="W96" s="26">
        <v>36975.2</v>
      </c>
      <c r="X96" s="136">
        <v>0</v>
      </c>
      <c r="Y96" s="136">
        <v>0</v>
      </c>
      <c r="Z96" s="158">
        <v>0</v>
      </c>
      <c r="AA96" s="258"/>
      <c r="AB96" s="258"/>
      <c r="AC96" s="258"/>
      <c r="AD96" s="258"/>
      <c r="AE96" s="259"/>
    </row>
    <row r="97" spans="1:31" ht="81" customHeight="1" thickBot="1">
      <c r="A97" s="99"/>
      <c r="B97" s="100"/>
      <c r="C97" s="167" t="s">
        <v>87</v>
      </c>
      <c r="D97" s="102"/>
      <c r="E97" s="102"/>
      <c r="F97" s="150"/>
      <c r="G97" s="151"/>
      <c r="H97" s="103"/>
      <c r="I97" s="104">
        <v>0</v>
      </c>
      <c r="J97" s="104">
        <v>10</v>
      </c>
      <c r="K97" s="104">
        <v>0</v>
      </c>
      <c r="L97" s="104">
        <v>0</v>
      </c>
      <c r="M97" s="104">
        <v>0</v>
      </c>
      <c r="N97" s="104">
        <v>0</v>
      </c>
      <c r="O97" s="105"/>
      <c r="P97" s="105"/>
      <c r="Q97" s="104"/>
      <c r="R97" s="105"/>
      <c r="S97" s="106"/>
      <c r="T97" s="5">
        <f t="shared" si="1"/>
        <v>10</v>
      </c>
      <c r="U97" s="28">
        <v>0</v>
      </c>
      <c r="V97" s="28">
        <v>10</v>
      </c>
      <c r="W97" s="28">
        <v>0</v>
      </c>
      <c r="X97" s="104">
        <v>0</v>
      </c>
      <c r="Y97" s="104">
        <v>0</v>
      </c>
      <c r="Z97" s="262">
        <v>0</v>
      </c>
      <c r="AA97" s="251"/>
      <c r="AB97" s="251"/>
      <c r="AC97" s="251"/>
      <c r="AD97" s="251"/>
      <c r="AE97" s="252"/>
    </row>
    <row r="98" spans="1:31" s="37" customFormat="1" ht="81" customHeight="1" thickBot="1">
      <c r="A98" s="123" t="s">
        <v>130</v>
      </c>
      <c r="B98" s="124" t="s">
        <v>206</v>
      </c>
      <c r="C98" s="171" t="s">
        <v>66</v>
      </c>
      <c r="D98" s="125" t="s">
        <v>5</v>
      </c>
      <c r="E98" s="125" t="s">
        <v>5</v>
      </c>
      <c r="F98" s="172">
        <f>860/1000</f>
        <v>0.86</v>
      </c>
      <c r="G98" s="171" t="s">
        <v>74</v>
      </c>
      <c r="H98" s="126">
        <f>SUM(I98:S98)</f>
        <v>194.3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7">
        <v>0</v>
      </c>
      <c r="P98" s="127"/>
      <c r="Q98" s="126"/>
      <c r="R98" s="126">
        <v>194.3</v>
      </c>
      <c r="S98" s="128"/>
      <c r="T98" s="44"/>
      <c r="U98" s="43"/>
      <c r="V98" s="43"/>
      <c r="W98" s="43"/>
      <c r="X98" s="126"/>
      <c r="Y98" s="126"/>
      <c r="Z98" s="228"/>
      <c r="AA98" s="256"/>
      <c r="AB98" s="256"/>
      <c r="AC98" s="256"/>
      <c r="AD98" s="256"/>
      <c r="AE98" s="257"/>
    </row>
    <row r="99" spans="1:31" ht="188.25" thickBot="1">
      <c r="A99" s="120" t="s">
        <v>210</v>
      </c>
      <c r="B99" s="121" t="s">
        <v>309</v>
      </c>
      <c r="C99" s="114" t="s">
        <v>112</v>
      </c>
      <c r="D99" s="122" t="s">
        <v>5</v>
      </c>
      <c r="E99" s="122" t="s">
        <v>5</v>
      </c>
      <c r="F99" s="169" t="s">
        <v>74</v>
      </c>
      <c r="G99" s="114" t="s">
        <v>74</v>
      </c>
      <c r="H99" s="117">
        <f>SUM(I99:S99)</f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8"/>
      <c r="P99" s="118"/>
      <c r="Q99" s="117"/>
      <c r="R99" s="118"/>
      <c r="S99" s="119"/>
      <c r="T99" s="6">
        <f t="shared" si="1"/>
        <v>78</v>
      </c>
      <c r="U99" s="30">
        <v>0</v>
      </c>
      <c r="V99" s="30">
        <v>0</v>
      </c>
      <c r="W99" s="30">
        <v>78</v>
      </c>
      <c r="X99" s="117">
        <v>0</v>
      </c>
      <c r="Y99" s="117">
        <v>0</v>
      </c>
      <c r="Z99" s="166">
        <v>0</v>
      </c>
      <c r="AA99" s="254"/>
      <c r="AB99" s="254"/>
      <c r="AC99" s="254"/>
      <c r="AD99" s="254"/>
      <c r="AE99" s="255"/>
    </row>
    <row r="100" spans="1:31" ht="90.75" customHeight="1">
      <c r="A100" s="152" t="s">
        <v>211</v>
      </c>
      <c r="B100" s="153" t="s">
        <v>125</v>
      </c>
      <c r="C100" s="131" t="s">
        <v>120</v>
      </c>
      <c r="D100" s="131" t="s">
        <v>5</v>
      </c>
      <c r="E100" s="131" t="s">
        <v>5</v>
      </c>
      <c r="F100" s="208" t="s">
        <v>74</v>
      </c>
      <c r="G100" s="165" t="s">
        <v>74</v>
      </c>
      <c r="H100" s="157">
        <f>SUM(I100:S101)</f>
        <v>102582.70000000001</v>
      </c>
      <c r="I100" s="136">
        <v>0</v>
      </c>
      <c r="J100" s="136">
        <v>0</v>
      </c>
      <c r="K100" s="136">
        <v>0</v>
      </c>
      <c r="L100" s="136">
        <f>225.1-73.4</f>
        <v>151.7</v>
      </c>
      <c r="M100" s="96">
        <v>73.4</v>
      </c>
      <c r="N100" s="136">
        <v>0</v>
      </c>
      <c r="O100" s="137"/>
      <c r="P100" s="137"/>
      <c r="Q100" s="136"/>
      <c r="R100" s="137"/>
      <c r="S100" s="138"/>
      <c r="T100" s="9">
        <f t="shared" si="1"/>
        <v>225.1</v>
      </c>
      <c r="U100" s="26">
        <v>0</v>
      </c>
      <c r="V100" s="26">
        <v>0</v>
      </c>
      <c r="W100" s="26">
        <v>0</v>
      </c>
      <c r="X100" s="136">
        <f>225.1-73.4</f>
        <v>151.7</v>
      </c>
      <c r="Y100" s="96">
        <v>73.4</v>
      </c>
      <c r="Z100" s="158">
        <v>0</v>
      </c>
      <c r="AA100" s="258"/>
      <c r="AB100" s="258"/>
      <c r="AC100" s="258"/>
      <c r="AD100" s="258"/>
      <c r="AE100" s="259"/>
    </row>
    <row r="101" spans="1:31" ht="70.5" customHeight="1" thickBot="1">
      <c r="A101" s="112"/>
      <c r="B101" s="113"/>
      <c r="C101" s="114" t="s">
        <v>8</v>
      </c>
      <c r="D101" s="122" t="s">
        <v>5</v>
      </c>
      <c r="E101" s="122" t="s">
        <v>5</v>
      </c>
      <c r="F101" s="169" t="s">
        <v>74</v>
      </c>
      <c r="G101" s="114" t="s">
        <v>119</v>
      </c>
      <c r="H101" s="160"/>
      <c r="I101" s="117">
        <v>0</v>
      </c>
      <c r="J101" s="117">
        <v>0</v>
      </c>
      <c r="K101" s="117">
        <v>0</v>
      </c>
      <c r="L101" s="117">
        <f>97765.5-16999.4</f>
        <v>80766.1</v>
      </c>
      <c r="M101" s="117">
        <f>33026.8-11412.5-22.8</f>
        <v>21591.500000000004</v>
      </c>
      <c r="N101" s="117">
        <v>0</v>
      </c>
      <c r="O101" s="105"/>
      <c r="P101" s="105"/>
      <c r="Q101" s="104"/>
      <c r="R101" s="105"/>
      <c r="S101" s="106"/>
      <c r="T101" s="6">
        <f t="shared" si="1"/>
        <v>102357.6</v>
      </c>
      <c r="U101" s="30">
        <v>0</v>
      </c>
      <c r="V101" s="30">
        <v>0</v>
      </c>
      <c r="W101" s="30">
        <v>0</v>
      </c>
      <c r="X101" s="117">
        <f>97765.5-16999.4</f>
        <v>80766.1</v>
      </c>
      <c r="Y101" s="117">
        <f>33026.8-11412.5-22.8</f>
        <v>21591.500000000004</v>
      </c>
      <c r="Z101" s="166">
        <v>0</v>
      </c>
      <c r="AA101" s="251"/>
      <c r="AB101" s="251"/>
      <c r="AC101" s="251"/>
      <c r="AD101" s="251"/>
      <c r="AE101" s="252"/>
    </row>
    <row r="102" spans="1:31" s="37" customFormat="1" ht="117" customHeight="1" thickBot="1">
      <c r="A102" s="120" t="s">
        <v>212</v>
      </c>
      <c r="B102" s="203" t="s">
        <v>131</v>
      </c>
      <c r="C102" s="114" t="s">
        <v>66</v>
      </c>
      <c r="D102" s="122" t="s">
        <v>5</v>
      </c>
      <c r="E102" s="122" t="s">
        <v>5</v>
      </c>
      <c r="F102" s="169">
        <f>4900/1000</f>
        <v>4.9</v>
      </c>
      <c r="G102" s="114" t="s">
        <v>74</v>
      </c>
      <c r="H102" s="117">
        <f>SUM(I102:S102)</f>
        <v>7975.1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8">
        <v>0</v>
      </c>
      <c r="P102" s="118">
        <v>7975.1</v>
      </c>
      <c r="Q102" s="117"/>
      <c r="R102" s="118"/>
      <c r="S102" s="119"/>
      <c r="T102" s="39">
        <f>U102+V102+W102+X102+Y102+Z102</f>
        <v>0</v>
      </c>
      <c r="U102" s="38">
        <v>0</v>
      </c>
      <c r="V102" s="38">
        <v>0</v>
      </c>
      <c r="W102" s="38">
        <v>0</v>
      </c>
      <c r="X102" s="117">
        <v>0</v>
      </c>
      <c r="Y102" s="117">
        <v>0</v>
      </c>
      <c r="Z102" s="166">
        <v>0</v>
      </c>
      <c r="AA102" s="254"/>
      <c r="AB102" s="254"/>
      <c r="AC102" s="254"/>
      <c r="AD102" s="254"/>
      <c r="AE102" s="255"/>
    </row>
    <row r="103" spans="1:31" s="37" customFormat="1" ht="73.5" customHeight="1">
      <c r="A103" s="107" t="s">
        <v>213</v>
      </c>
      <c r="B103" s="209" t="s">
        <v>310</v>
      </c>
      <c r="C103" s="210" t="s">
        <v>132</v>
      </c>
      <c r="D103" s="110" t="s">
        <v>5</v>
      </c>
      <c r="E103" s="110" t="s">
        <v>5</v>
      </c>
      <c r="F103" s="211" t="s">
        <v>74</v>
      </c>
      <c r="G103" s="93" t="s">
        <v>127</v>
      </c>
      <c r="H103" s="96" t="s">
        <v>74</v>
      </c>
      <c r="I103" s="96">
        <v>0</v>
      </c>
      <c r="J103" s="96">
        <v>0</v>
      </c>
      <c r="K103" s="96">
        <v>0</v>
      </c>
      <c r="L103" s="96">
        <v>0</v>
      </c>
      <c r="M103" s="96">
        <f>1000+74200+23733.3-24733.3-74200</f>
        <v>0</v>
      </c>
      <c r="N103" s="96">
        <v>0</v>
      </c>
      <c r="O103" s="97"/>
      <c r="P103" s="97"/>
      <c r="Q103" s="96"/>
      <c r="R103" s="97"/>
      <c r="S103" s="98"/>
      <c r="T103" s="47">
        <f>SUM(U103:AE103)</f>
        <v>0</v>
      </c>
      <c r="U103" s="35">
        <v>0</v>
      </c>
      <c r="V103" s="35">
        <v>0</v>
      </c>
      <c r="W103" s="35">
        <v>0</v>
      </c>
      <c r="X103" s="96">
        <v>0</v>
      </c>
      <c r="Y103" s="96">
        <f>1000+74200+23733.3-24733.3-74200</f>
        <v>0</v>
      </c>
      <c r="Z103" s="253">
        <v>0</v>
      </c>
      <c r="AA103" s="249"/>
      <c r="AB103" s="249"/>
      <c r="AC103" s="249"/>
      <c r="AD103" s="249"/>
      <c r="AE103" s="250"/>
    </row>
    <row r="104" spans="1:31" s="37" customFormat="1" ht="37.5" customHeight="1">
      <c r="A104" s="152"/>
      <c r="B104" s="212"/>
      <c r="C104" s="213" t="s">
        <v>8</v>
      </c>
      <c r="D104" s="154"/>
      <c r="E104" s="154"/>
      <c r="F104" s="182">
        <f>SUM(I104:S104)</f>
        <v>45572.4</v>
      </c>
      <c r="G104" s="165" t="s">
        <v>151</v>
      </c>
      <c r="H104" s="146"/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f>74200+24733.3-74200-15521.1-1839.2</f>
        <v>7373.000000000003</v>
      </c>
      <c r="O104" s="146">
        <v>38199.4</v>
      </c>
      <c r="P104" s="147"/>
      <c r="Q104" s="146"/>
      <c r="R104" s="147"/>
      <c r="S104" s="148"/>
      <c r="T104" s="54">
        <f>SUM(U104:AE104)</f>
        <v>7373.000000000003</v>
      </c>
      <c r="U104" s="53">
        <v>0</v>
      </c>
      <c r="V104" s="53">
        <v>0</v>
      </c>
      <c r="W104" s="53">
        <v>0</v>
      </c>
      <c r="X104" s="146">
        <v>0</v>
      </c>
      <c r="Y104" s="146">
        <v>0</v>
      </c>
      <c r="Z104" s="146">
        <f>74200+24733.3-74200-15521.1-1839.2</f>
        <v>7373.000000000003</v>
      </c>
      <c r="AA104" s="273"/>
      <c r="AB104" s="273"/>
      <c r="AC104" s="273"/>
      <c r="AD104" s="273"/>
      <c r="AE104" s="261"/>
    </row>
    <row r="105" spans="1:31" s="42" customFormat="1" ht="45" customHeight="1" thickBot="1">
      <c r="A105" s="112"/>
      <c r="B105" s="214"/>
      <c r="C105" s="215" t="s">
        <v>66</v>
      </c>
      <c r="D105" s="115"/>
      <c r="E105" s="115"/>
      <c r="F105" s="169" t="s">
        <v>74</v>
      </c>
      <c r="G105" s="114" t="s">
        <v>128</v>
      </c>
      <c r="H105" s="117" t="s">
        <v>74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f>9610.4-2306.5</f>
        <v>7303.9</v>
      </c>
      <c r="O105" s="117">
        <v>0</v>
      </c>
      <c r="P105" s="117">
        <v>0</v>
      </c>
      <c r="Q105" s="117">
        <v>0</v>
      </c>
      <c r="R105" s="117">
        <v>0</v>
      </c>
      <c r="S105" s="201">
        <v>0</v>
      </c>
      <c r="T105" s="39">
        <f>SUM(U105:AE105)</f>
        <v>7303.9</v>
      </c>
      <c r="U105" s="38">
        <v>0</v>
      </c>
      <c r="V105" s="38">
        <v>0</v>
      </c>
      <c r="W105" s="38">
        <v>0</v>
      </c>
      <c r="X105" s="117">
        <v>0</v>
      </c>
      <c r="Y105" s="117">
        <v>0</v>
      </c>
      <c r="Z105" s="117">
        <f>9610.4-2306.5</f>
        <v>7303.9</v>
      </c>
      <c r="AA105" s="166">
        <v>0</v>
      </c>
      <c r="AB105" s="166">
        <v>0</v>
      </c>
      <c r="AC105" s="166">
        <v>0</v>
      </c>
      <c r="AD105" s="166">
        <v>0</v>
      </c>
      <c r="AE105" s="201">
        <v>0</v>
      </c>
    </row>
    <row r="106" spans="1:31" s="37" customFormat="1" ht="57" thickBot="1">
      <c r="A106" s="216" t="s">
        <v>214</v>
      </c>
      <c r="B106" s="217" t="s">
        <v>138</v>
      </c>
      <c r="C106" s="114" t="s">
        <v>8</v>
      </c>
      <c r="D106" s="122" t="s">
        <v>5</v>
      </c>
      <c r="E106" s="122" t="s">
        <v>5</v>
      </c>
      <c r="F106" s="169">
        <f>100/1000</f>
        <v>0.1</v>
      </c>
      <c r="G106" s="114" t="s">
        <v>148</v>
      </c>
      <c r="H106" s="117">
        <f aca="true" t="shared" si="2" ref="H106:H181">SUM(I106:S106)</f>
        <v>2830.3</v>
      </c>
      <c r="I106" s="117"/>
      <c r="J106" s="117"/>
      <c r="K106" s="117"/>
      <c r="L106" s="117"/>
      <c r="M106" s="117">
        <v>0</v>
      </c>
      <c r="N106" s="117">
        <v>0</v>
      </c>
      <c r="O106" s="118"/>
      <c r="P106" s="118"/>
      <c r="Q106" s="117">
        <v>2830.3</v>
      </c>
      <c r="R106" s="118"/>
      <c r="S106" s="119"/>
      <c r="T106" s="39">
        <f aca="true" t="shared" si="3" ref="T106:T169">SUM(U106:AE106)</f>
        <v>0</v>
      </c>
      <c r="U106" s="38"/>
      <c r="V106" s="38"/>
      <c r="W106" s="38"/>
      <c r="X106" s="117"/>
      <c r="Y106" s="117"/>
      <c r="Z106" s="166"/>
      <c r="AA106" s="254"/>
      <c r="AB106" s="254"/>
      <c r="AC106" s="254"/>
      <c r="AD106" s="254"/>
      <c r="AE106" s="255"/>
    </row>
    <row r="107" spans="1:31" s="37" customFormat="1" ht="57" thickBot="1">
      <c r="A107" s="218">
        <v>39</v>
      </c>
      <c r="B107" s="217" t="s">
        <v>139</v>
      </c>
      <c r="C107" s="114" t="s">
        <v>8</v>
      </c>
      <c r="D107" s="125" t="s">
        <v>5</v>
      </c>
      <c r="E107" s="122" t="s">
        <v>5</v>
      </c>
      <c r="F107" s="219">
        <f>96/1000</f>
        <v>0.096</v>
      </c>
      <c r="G107" s="114" t="s">
        <v>148</v>
      </c>
      <c r="H107" s="117">
        <f t="shared" si="2"/>
        <v>1128.4</v>
      </c>
      <c r="I107" s="117"/>
      <c r="J107" s="117"/>
      <c r="K107" s="117"/>
      <c r="L107" s="117"/>
      <c r="M107" s="117">
        <v>0</v>
      </c>
      <c r="N107" s="117">
        <v>0</v>
      </c>
      <c r="O107" s="118"/>
      <c r="P107" s="118"/>
      <c r="Q107" s="117">
        <v>1128.4</v>
      </c>
      <c r="R107" s="118"/>
      <c r="S107" s="119"/>
      <c r="T107" s="39">
        <f t="shared" si="3"/>
        <v>0</v>
      </c>
      <c r="U107" s="38"/>
      <c r="V107" s="38"/>
      <c r="W107" s="38"/>
      <c r="X107" s="117"/>
      <c r="Y107" s="117"/>
      <c r="Z107" s="166"/>
      <c r="AA107" s="254"/>
      <c r="AB107" s="254"/>
      <c r="AC107" s="254"/>
      <c r="AD107" s="254"/>
      <c r="AE107" s="255"/>
    </row>
    <row r="108" spans="1:31" s="37" customFormat="1" ht="57" thickBot="1">
      <c r="A108" s="218">
        <f>A107+1</f>
        <v>40</v>
      </c>
      <c r="B108" s="217" t="s">
        <v>140</v>
      </c>
      <c r="C108" s="114" t="s">
        <v>141</v>
      </c>
      <c r="D108" s="125" t="s">
        <v>5</v>
      </c>
      <c r="E108" s="122" t="s">
        <v>5</v>
      </c>
      <c r="F108" s="169" t="s">
        <v>17</v>
      </c>
      <c r="G108" s="114" t="s">
        <v>153</v>
      </c>
      <c r="H108" s="117">
        <f t="shared" si="2"/>
        <v>12193.2</v>
      </c>
      <c r="I108" s="117"/>
      <c r="J108" s="117"/>
      <c r="K108" s="117"/>
      <c r="L108" s="117"/>
      <c r="M108" s="117">
        <v>0</v>
      </c>
      <c r="N108" s="117">
        <v>0</v>
      </c>
      <c r="O108" s="118"/>
      <c r="P108" s="118"/>
      <c r="Q108" s="117"/>
      <c r="R108" s="117">
        <v>4267.6</v>
      </c>
      <c r="S108" s="117">
        <v>7925.6</v>
      </c>
      <c r="T108" s="39">
        <f t="shared" si="3"/>
        <v>0</v>
      </c>
      <c r="U108" s="38"/>
      <c r="V108" s="38"/>
      <c r="W108" s="38"/>
      <c r="X108" s="117"/>
      <c r="Y108" s="117"/>
      <c r="Z108" s="166"/>
      <c r="AA108" s="254"/>
      <c r="AB108" s="254"/>
      <c r="AC108" s="254"/>
      <c r="AD108" s="254"/>
      <c r="AE108" s="255"/>
    </row>
    <row r="109" spans="1:31" s="42" customFormat="1" ht="75.75" thickBot="1">
      <c r="A109" s="218">
        <v>41</v>
      </c>
      <c r="B109" s="217" t="s">
        <v>194</v>
      </c>
      <c r="C109" s="114" t="s">
        <v>66</v>
      </c>
      <c r="D109" s="125" t="s">
        <v>5</v>
      </c>
      <c r="E109" s="122" t="s">
        <v>5</v>
      </c>
      <c r="F109" s="169">
        <f>5155.3/1000</f>
        <v>5.1553</v>
      </c>
      <c r="G109" s="114" t="s">
        <v>74</v>
      </c>
      <c r="H109" s="117">
        <f t="shared" si="2"/>
        <v>50686.299999999996</v>
      </c>
      <c r="I109" s="117"/>
      <c r="J109" s="117"/>
      <c r="K109" s="117"/>
      <c r="L109" s="117"/>
      <c r="M109" s="117">
        <v>542.2</v>
      </c>
      <c r="N109" s="117"/>
      <c r="O109" s="117"/>
      <c r="P109" s="117"/>
      <c r="Q109" s="117"/>
      <c r="R109" s="117">
        <v>50144.1</v>
      </c>
      <c r="S109" s="201"/>
      <c r="T109" s="39">
        <f t="shared" si="3"/>
        <v>542.2</v>
      </c>
      <c r="U109" s="38"/>
      <c r="V109" s="38"/>
      <c r="W109" s="38"/>
      <c r="X109" s="117"/>
      <c r="Y109" s="117">
        <v>542.2</v>
      </c>
      <c r="Z109" s="166"/>
      <c r="AA109" s="268"/>
      <c r="AB109" s="268"/>
      <c r="AC109" s="268"/>
      <c r="AD109" s="268"/>
      <c r="AE109" s="269"/>
    </row>
    <row r="110" spans="1:31" s="37" customFormat="1" ht="57" thickBot="1">
      <c r="A110" s="218">
        <v>42</v>
      </c>
      <c r="B110" s="217" t="s">
        <v>142</v>
      </c>
      <c r="C110" s="114" t="s">
        <v>8</v>
      </c>
      <c r="D110" s="125" t="s">
        <v>5</v>
      </c>
      <c r="E110" s="122" t="s">
        <v>5</v>
      </c>
      <c r="F110" s="169">
        <f>2731/1000</f>
        <v>2.731</v>
      </c>
      <c r="G110" s="114" t="s">
        <v>146</v>
      </c>
      <c r="H110" s="117">
        <f t="shared" si="2"/>
        <v>29431.7</v>
      </c>
      <c r="I110" s="117"/>
      <c r="J110" s="117"/>
      <c r="K110" s="117"/>
      <c r="L110" s="117"/>
      <c r="M110" s="117"/>
      <c r="N110" s="117">
        <v>0</v>
      </c>
      <c r="O110" s="117">
        <v>0</v>
      </c>
      <c r="P110" s="117">
        <v>29431.7</v>
      </c>
      <c r="Q110" s="117"/>
      <c r="R110" s="118"/>
      <c r="S110" s="119"/>
      <c r="T110" s="39">
        <f t="shared" si="3"/>
        <v>0</v>
      </c>
      <c r="U110" s="38"/>
      <c r="V110" s="38"/>
      <c r="W110" s="38"/>
      <c r="X110" s="117"/>
      <c r="Y110" s="117"/>
      <c r="Z110" s="166"/>
      <c r="AA110" s="254"/>
      <c r="AB110" s="254"/>
      <c r="AC110" s="254"/>
      <c r="AD110" s="254"/>
      <c r="AE110" s="255"/>
    </row>
    <row r="111" spans="1:31" s="37" customFormat="1" ht="56.25">
      <c r="A111" s="220">
        <v>43</v>
      </c>
      <c r="B111" s="209" t="s">
        <v>222</v>
      </c>
      <c r="C111" s="93" t="s">
        <v>8</v>
      </c>
      <c r="D111" s="109" t="s">
        <v>5</v>
      </c>
      <c r="E111" s="109" t="s">
        <v>5</v>
      </c>
      <c r="F111" s="211">
        <v>9.5</v>
      </c>
      <c r="G111" s="93" t="s">
        <v>146</v>
      </c>
      <c r="H111" s="96">
        <f t="shared" si="2"/>
        <v>98895</v>
      </c>
      <c r="I111" s="96"/>
      <c r="J111" s="96"/>
      <c r="K111" s="96"/>
      <c r="L111" s="96"/>
      <c r="M111" s="96"/>
      <c r="N111" s="96"/>
      <c r="O111" s="96"/>
      <c r="P111" s="96">
        <v>98895</v>
      </c>
      <c r="Q111" s="96"/>
      <c r="R111" s="97"/>
      <c r="S111" s="98"/>
      <c r="T111" s="36"/>
      <c r="U111" s="35"/>
      <c r="V111" s="35"/>
      <c r="W111" s="35"/>
      <c r="X111" s="96"/>
      <c r="Y111" s="96"/>
      <c r="Z111" s="253"/>
      <c r="AA111" s="249"/>
      <c r="AB111" s="249"/>
      <c r="AC111" s="249"/>
      <c r="AD111" s="249"/>
      <c r="AE111" s="250"/>
    </row>
    <row r="112" spans="1:31" s="42" customFormat="1" ht="57" thickBot="1">
      <c r="A112" s="221"/>
      <c r="B112" s="214"/>
      <c r="C112" s="114" t="s">
        <v>66</v>
      </c>
      <c r="D112" s="122" t="s">
        <v>5</v>
      </c>
      <c r="E112" s="122" t="s">
        <v>5</v>
      </c>
      <c r="F112" s="169"/>
      <c r="G112" s="114" t="s">
        <v>215</v>
      </c>
      <c r="H112" s="117">
        <f t="shared" si="2"/>
        <v>3391.8</v>
      </c>
      <c r="I112" s="117"/>
      <c r="J112" s="117"/>
      <c r="K112" s="117"/>
      <c r="L112" s="117"/>
      <c r="M112" s="117"/>
      <c r="N112" s="117">
        <v>0</v>
      </c>
      <c r="O112" s="117">
        <v>3391.8</v>
      </c>
      <c r="P112" s="117"/>
      <c r="Q112" s="117"/>
      <c r="R112" s="117"/>
      <c r="S112" s="201"/>
      <c r="T112" s="39">
        <f t="shared" si="3"/>
        <v>3391.8</v>
      </c>
      <c r="U112" s="38"/>
      <c r="V112" s="38"/>
      <c r="W112" s="38"/>
      <c r="X112" s="117"/>
      <c r="Y112" s="117"/>
      <c r="Z112" s="166"/>
      <c r="AA112" s="117">
        <v>3391.8</v>
      </c>
      <c r="AB112" s="268"/>
      <c r="AC112" s="268"/>
      <c r="AD112" s="268"/>
      <c r="AE112" s="269"/>
    </row>
    <row r="113" spans="1:31" s="42" customFormat="1" ht="57" thickBot="1">
      <c r="A113" s="218">
        <v>44</v>
      </c>
      <c r="B113" s="217" t="s">
        <v>143</v>
      </c>
      <c r="C113" s="171" t="s">
        <v>8</v>
      </c>
      <c r="D113" s="125" t="s">
        <v>5</v>
      </c>
      <c r="E113" s="125" t="s">
        <v>5</v>
      </c>
      <c r="F113" s="172" t="s">
        <v>144</v>
      </c>
      <c r="G113" s="171" t="s">
        <v>148</v>
      </c>
      <c r="H113" s="126">
        <f t="shared" si="2"/>
        <v>21582.6</v>
      </c>
      <c r="I113" s="126"/>
      <c r="J113" s="126"/>
      <c r="K113" s="126"/>
      <c r="L113" s="126"/>
      <c r="M113" s="126"/>
      <c r="N113" s="126">
        <v>0</v>
      </c>
      <c r="O113" s="126">
        <v>0</v>
      </c>
      <c r="P113" s="126"/>
      <c r="Q113" s="126">
        <f>9990.8+11591.8</f>
        <v>21582.6</v>
      </c>
      <c r="R113" s="126"/>
      <c r="S113" s="222"/>
      <c r="T113" s="44">
        <f t="shared" si="3"/>
        <v>0</v>
      </c>
      <c r="U113" s="43"/>
      <c r="V113" s="43"/>
      <c r="W113" s="43"/>
      <c r="X113" s="126"/>
      <c r="Y113" s="126"/>
      <c r="Z113" s="228"/>
      <c r="AA113" s="274"/>
      <c r="AB113" s="274"/>
      <c r="AC113" s="274"/>
      <c r="AD113" s="274"/>
      <c r="AE113" s="275"/>
    </row>
    <row r="114" spans="1:31" s="42" customFormat="1" ht="56.25">
      <c r="A114" s="220">
        <v>45</v>
      </c>
      <c r="B114" s="209" t="s">
        <v>195</v>
      </c>
      <c r="C114" s="165" t="s">
        <v>8</v>
      </c>
      <c r="D114" s="109" t="s">
        <v>5</v>
      </c>
      <c r="E114" s="109" t="s">
        <v>5</v>
      </c>
      <c r="F114" s="208" t="s">
        <v>279</v>
      </c>
      <c r="G114" s="165" t="s">
        <v>148</v>
      </c>
      <c r="H114" s="96">
        <f t="shared" si="2"/>
        <v>10267.1</v>
      </c>
      <c r="I114" s="136"/>
      <c r="J114" s="136"/>
      <c r="K114" s="136"/>
      <c r="L114" s="136"/>
      <c r="M114" s="136"/>
      <c r="N114" s="136"/>
      <c r="O114" s="136"/>
      <c r="P114" s="136"/>
      <c r="Q114" s="136">
        <f>3187.2+3108.9+3971</f>
        <v>10267.1</v>
      </c>
      <c r="R114" s="136"/>
      <c r="S114" s="223"/>
      <c r="T114" s="46"/>
      <c r="U114" s="45"/>
      <c r="V114" s="45"/>
      <c r="W114" s="45"/>
      <c r="X114" s="136"/>
      <c r="Y114" s="136"/>
      <c r="Z114" s="158"/>
      <c r="AA114" s="276"/>
      <c r="AB114" s="276"/>
      <c r="AC114" s="276"/>
      <c r="AD114" s="276"/>
      <c r="AE114" s="277"/>
    </row>
    <row r="115" spans="1:31" s="42" customFormat="1" ht="57" thickBot="1">
      <c r="A115" s="221"/>
      <c r="B115" s="214"/>
      <c r="C115" s="114" t="s">
        <v>66</v>
      </c>
      <c r="D115" s="122" t="s">
        <v>5</v>
      </c>
      <c r="E115" s="122" t="s">
        <v>5</v>
      </c>
      <c r="F115" s="169">
        <f>731.5/1000</f>
        <v>0.7315</v>
      </c>
      <c r="G115" s="114" t="s">
        <v>74</v>
      </c>
      <c r="H115" s="117">
        <f t="shared" si="2"/>
        <v>303.3</v>
      </c>
      <c r="I115" s="117"/>
      <c r="J115" s="117"/>
      <c r="K115" s="117"/>
      <c r="L115" s="117"/>
      <c r="M115" s="117">
        <v>303.3</v>
      </c>
      <c r="N115" s="117"/>
      <c r="O115" s="117">
        <v>0</v>
      </c>
      <c r="P115" s="117">
        <v>0</v>
      </c>
      <c r="Q115" s="117"/>
      <c r="R115" s="117"/>
      <c r="S115" s="201"/>
      <c r="T115" s="39">
        <f t="shared" si="3"/>
        <v>303.3</v>
      </c>
      <c r="U115" s="38"/>
      <c r="V115" s="38"/>
      <c r="W115" s="38"/>
      <c r="X115" s="117"/>
      <c r="Y115" s="117">
        <v>303.3</v>
      </c>
      <c r="Z115" s="166"/>
      <c r="AA115" s="268"/>
      <c r="AB115" s="268"/>
      <c r="AC115" s="268"/>
      <c r="AD115" s="268"/>
      <c r="AE115" s="269"/>
    </row>
    <row r="116" spans="1:31" s="42" customFormat="1" ht="57" thickBot="1">
      <c r="A116" s="218">
        <v>46</v>
      </c>
      <c r="B116" s="217" t="s">
        <v>145</v>
      </c>
      <c r="C116" s="114" t="s">
        <v>8</v>
      </c>
      <c r="D116" s="125" t="s">
        <v>5</v>
      </c>
      <c r="E116" s="122" t="s">
        <v>5</v>
      </c>
      <c r="F116" s="169">
        <f>3000/1000</f>
        <v>3</v>
      </c>
      <c r="G116" s="114" t="s">
        <v>152</v>
      </c>
      <c r="H116" s="117">
        <f t="shared" si="2"/>
        <v>5738.7</v>
      </c>
      <c r="I116" s="117"/>
      <c r="J116" s="117"/>
      <c r="K116" s="117"/>
      <c r="L116" s="117"/>
      <c r="M116" s="117"/>
      <c r="N116" s="117"/>
      <c r="O116" s="117"/>
      <c r="P116" s="117"/>
      <c r="Q116" s="117"/>
      <c r="R116" s="117">
        <v>5738.7</v>
      </c>
      <c r="S116" s="201"/>
      <c r="T116" s="39">
        <f t="shared" si="3"/>
        <v>0</v>
      </c>
      <c r="U116" s="38"/>
      <c r="V116" s="38"/>
      <c r="W116" s="38"/>
      <c r="X116" s="117"/>
      <c r="Y116" s="117"/>
      <c r="Z116" s="166"/>
      <c r="AA116" s="268"/>
      <c r="AB116" s="268"/>
      <c r="AC116" s="268"/>
      <c r="AD116" s="268"/>
      <c r="AE116" s="269"/>
    </row>
    <row r="117" spans="1:31" s="42" customFormat="1" ht="37.5">
      <c r="A117" s="220">
        <v>47</v>
      </c>
      <c r="B117" s="209" t="s">
        <v>147</v>
      </c>
      <c r="C117" s="93" t="s">
        <v>66</v>
      </c>
      <c r="D117" s="110" t="s">
        <v>5</v>
      </c>
      <c r="E117" s="110" t="s">
        <v>5</v>
      </c>
      <c r="F117" s="111">
        <f>5000/1000</f>
        <v>5</v>
      </c>
      <c r="G117" s="93" t="s">
        <v>74</v>
      </c>
      <c r="H117" s="96">
        <f t="shared" si="2"/>
        <v>5000</v>
      </c>
      <c r="I117" s="96"/>
      <c r="J117" s="96"/>
      <c r="K117" s="96"/>
      <c r="L117" s="96"/>
      <c r="M117" s="96"/>
      <c r="N117" s="96"/>
      <c r="O117" s="96"/>
      <c r="P117" s="96"/>
      <c r="Q117" s="96"/>
      <c r="R117" s="96">
        <v>5000</v>
      </c>
      <c r="S117" s="224"/>
      <c r="T117" s="47">
        <f t="shared" si="3"/>
        <v>0</v>
      </c>
      <c r="U117" s="35"/>
      <c r="V117" s="35"/>
      <c r="W117" s="35"/>
      <c r="X117" s="96"/>
      <c r="Y117" s="96"/>
      <c r="Z117" s="253"/>
      <c r="AA117" s="278"/>
      <c r="AB117" s="278"/>
      <c r="AC117" s="278"/>
      <c r="AD117" s="278"/>
      <c r="AE117" s="279"/>
    </row>
    <row r="118" spans="1:31" s="42" customFormat="1" ht="63.75" customHeight="1" thickBot="1">
      <c r="A118" s="221"/>
      <c r="B118" s="214"/>
      <c r="C118" s="114" t="s">
        <v>8</v>
      </c>
      <c r="D118" s="115"/>
      <c r="E118" s="115"/>
      <c r="F118" s="116"/>
      <c r="G118" s="114" t="s">
        <v>153</v>
      </c>
      <c r="H118" s="117">
        <f t="shared" si="2"/>
        <v>40000</v>
      </c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>
        <v>40000</v>
      </c>
      <c r="T118" s="39">
        <f t="shared" si="3"/>
        <v>0</v>
      </c>
      <c r="U118" s="38"/>
      <c r="V118" s="38"/>
      <c r="W118" s="38"/>
      <c r="X118" s="117"/>
      <c r="Y118" s="117"/>
      <c r="Z118" s="166"/>
      <c r="AA118" s="268"/>
      <c r="AB118" s="268"/>
      <c r="AC118" s="268"/>
      <c r="AD118" s="268"/>
      <c r="AE118" s="269"/>
    </row>
    <row r="119" spans="1:31" s="42" customFormat="1" ht="57" thickBot="1">
      <c r="A119" s="218">
        <f>A117+1</f>
        <v>48</v>
      </c>
      <c r="B119" s="217" t="s">
        <v>149</v>
      </c>
      <c r="C119" s="114" t="s">
        <v>150</v>
      </c>
      <c r="D119" s="125" t="s">
        <v>5</v>
      </c>
      <c r="E119" s="122" t="s">
        <v>5</v>
      </c>
      <c r="F119" s="169" t="s">
        <v>17</v>
      </c>
      <c r="G119" s="114" t="s">
        <v>152</v>
      </c>
      <c r="H119" s="117">
        <f t="shared" si="2"/>
        <v>59969</v>
      </c>
      <c r="I119" s="117"/>
      <c r="J119" s="117"/>
      <c r="K119" s="117"/>
      <c r="L119" s="117"/>
      <c r="M119" s="117"/>
      <c r="N119" s="117"/>
      <c r="O119" s="117"/>
      <c r="P119" s="117"/>
      <c r="Q119" s="117"/>
      <c r="R119" s="117">
        <v>59969</v>
      </c>
      <c r="S119" s="201"/>
      <c r="T119" s="39">
        <f t="shared" si="3"/>
        <v>0</v>
      </c>
      <c r="U119" s="38"/>
      <c r="V119" s="38"/>
      <c r="W119" s="38"/>
      <c r="X119" s="117"/>
      <c r="Y119" s="117"/>
      <c r="Z119" s="166"/>
      <c r="AA119" s="268"/>
      <c r="AB119" s="268"/>
      <c r="AC119" s="268"/>
      <c r="AD119" s="268"/>
      <c r="AE119" s="269"/>
    </row>
    <row r="120" spans="1:31" s="42" customFormat="1" ht="57" thickBot="1">
      <c r="A120" s="218">
        <v>49</v>
      </c>
      <c r="B120" s="217" t="s">
        <v>196</v>
      </c>
      <c r="C120" s="114" t="s">
        <v>66</v>
      </c>
      <c r="D120" s="125" t="s">
        <v>5</v>
      </c>
      <c r="E120" s="122" t="s">
        <v>5</v>
      </c>
      <c r="F120" s="169">
        <f>27500/1000</f>
        <v>27.5</v>
      </c>
      <c r="G120" s="114" t="s">
        <v>74</v>
      </c>
      <c r="H120" s="117">
        <f t="shared" si="2"/>
        <v>19221.3</v>
      </c>
      <c r="I120" s="117"/>
      <c r="J120" s="117"/>
      <c r="K120" s="117"/>
      <c r="L120" s="117"/>
      <c r="M120" s="117"/>
      <c r="N120" s="117"/>
      <c r="O120" s="117"/>
      <c r="P120" s="117"/>
      <c r="Q120" s="117"/>
      <c r="R120" s="117">
        <v>19221.3</v>
      </c>
      <c r="S120" s="201"/>
      <c r="T120" s="39">
        <f t="shared" si="3"/>
        <v>0</v>
      </c>
      <c r="U120" s="38"/>
      <c r="V120" s="38"/>
      <c r="W120" s="38"/>
      <c r="X120" s="117"/>
      <c r="Y120" s="117"/>
      <c r="Z120" s="166"/>
      <c r="AA120" s="268"/>
      <c r="AB120" s="268"/>
      <c r="AC120" s="268"/>
      <c r="AD120" s="268"/>
      <c r="AE120" s="269"/>
    </row>
    <row r="121" spans="1:31" s="42" customFormat="1" ht="37.5">
      <c r="A121" s="220">
        <v>50</v>
      </c>
      <c r="B121" s="209" t="s">
        <v>223</v>
      </c>
      <c r="C121" s="93" t="s">
        <v>66</v>
      </c>
      <c r="D121" s="110" t="s">
        <v>5</v>
      </c>
      <c r="E121" s="110" t="s">
        <v>5</v>
      </c>
      <c r="F121" s="111">
        <f>2150/1000</f>
        <v>2.15</v>
      </c>
      <c r="G121" s="93" t="s">
        <v>74</v>
      </c>
      <c r="H121" s="96">
        <f t="shared" si="2"/>
        <v>2000</v>
      </c>
      <c r="I121" s="96"/>
      <c r="J121" s="96"/>
      <c r="K121" s="96"/>
      <c r="L121" s="96"/>
      <c r="M121" s="96"/>
      <c r="N121" s="96"/>
      <c r="O121" s="96"/>
      <c r="P121" s="96"/>
      <c r="Q121" s="96"/>
      <c r="R121" s="96">
        <v>2000</v>
      </c>
      <c r="S121" s="224"/>
      <c r="T121" s="47">
        <f t="shared" si="3"/>
        <v>0</v>
      </c>
      <c r="U121" s="35"/>
      <c r="V121" s="35"/>
      <c r="W121" s="35"/>
      <c r="X121" s="96"/>
      <c r="Y121" s="96"/>
      <c r="Z121" s="253"/>
      <c r="AA121" s="278"/>
      <c r="AB121" s="278"/>
      <c r="AC121" s="278"/>
      <c r="AD121" s="278"/>
      <c r="AE121" s="279"/>
    </row>
    <row r="122" spans="1:31" s="42" customFormat="1" ht="38.25" thickBot="1">
      <c r="A122" s="221"/>
      <c r="B122" s="214"/>
      <c r="C122" s="114" t="s">
        <v>8</v>
      </c>
      <c r="D122" s="115"/>
      <c r="E122" s="115"/>
      <c r="F122" s="116"/>
      <c r="G122" s="114" t="s">
        <v>153</v>
      </c>
      <c r="H122" s="117">
        <f t="shared" si="2"/>
        <v>16082</v>
      </c>
      <c r="I122" s="117"/>
      <c r="J122" s="117"/>
      <c r="K122" s="117"/>
      <c r="L122" s="117"/>
      <c r="M122" s="117"/>
      <c r="N122" s="162"/>
      <c r="O122" s="162"/>
      <c r="P122" s="162"/>
      <c r="Q122" s="117"/>
      <c r="R122" s="117"/>
      <c r="S122" s="201">
        <v>16082</v>
      </c>
      <c r="T122" s="39">
        <f t="shared" si="3"/>
        <v>0</v>
      </c>
      <c r="U122" s="38"/>
      <c r="V122" s="38"/>
      <c r="W122" s="38"/>
      <c r="X122" s="117"/>
      <c r="Y122" s="117"/>
      <c r="Z122" s="166"/>
      <c r="AA122" s="268"/>
      <c r="AB122" s="268"/>
      <c r="AC122" s="268"/>
      <c r="AD122" s="268"/>
      <c r="AE122" s="269"/>
    </row>
    <row r="123" spans="1:31" s="42" customFormat="1" ht="37.5">
      <c r="A123" s="220">
        <v>51</v>
      </c>
      <c r="B123" s="209" t="s">
        <v>224</v>
      </c>
      <c r="C123" s="93" t="s">
        <v>66</v>
      </c>
      <c r="D123" s="110" t="s">
        <v>5</v>
      </c>
      <c r="E123" s="110" t="s">
        <v>5</v>
      </c>
      <c r="F123" s="111">
        <f>650/1000</f>
        <v>0.65</v>
      </c>
      <c r="G123" s="93" t="s">
        <v>74</v>
      </c>
      <c r="H123" s="96">
        <f t="shared" si="2"/>
        <v>650</v>
      </c>
      <c r="I123" s="96"/>
      <c r="J123" s="96"/>
      <c r="K123" s="96"/>
      <c r="L123" s="96"/>
      <c r="M123" s="96"/>
      <c r="N123" s="96"/>
      <c r="O123" s="96"/>
      <c r="P123" s="96"/>
      <c r="Q123" s="96"/>
      <c r="R123" s="96">
        <v>650</v>
      </c>
      <c r="S123" s="224"/>
      <c r="T123" s="47">
        <f t="shared" si="3"/>
        <v>0</v>
      </c>
      <c r="U123" s="35"/>
      <c r="V123" s="35"/>
      <c r="W123" s="35"/>
      <c r="X123" s="96"/>
      <c r="Y123" s="96"/>
      <c r="Z123" s="253"/>
      <c r="AA123" s="278"/>
      <c r="AB123" s="278"/>
      <c r="AC123" s="278"/>
      <c r="AD123" s="278"/>
      <c r="AE123" s="279"/>
    </row>
    <row r="124" spans="1:31" s="42" customFormat="1" ht="38.25" thickBot="1">
      <c r="A124" s="221"/>
      <c r="B124" s="214"/>
      <c r="C124" s="114" t="s">
        <v>8</v>
      </c>
      <c r="D124" s="115"/>
      <c r="E124" s="115"/>
      <c r="F124" s="116"/>
      <c r="G124" s="114" t="s">
        <v>153</v>
      </c>
      <c r="H124" s="117">
        <f t="shared" si="2"/>
        <v>4225</v>
      </c>
      <c r="I124" s="117"/>
      <c r="J124" s="117"/>
      <c r="K124" s="117"/>
      <c r="L124" s="117"/>
      <c r="M124" s="117"/>
      <c r="N124" s="117"/>
      <c r="O124" s="117"/>
      <c r="P124" s="104"/>
      <c r="Q124" s="117"/>
      <c r="R124" s="117"/>
      <c r="S124" s="117">
        <v>4225</v>
      </c>
      <c r="T124" s="39">
        <f t="shared" si="3"/>
        <v>0</v>
      </c>
      <c r="U124" s="38"/>
      <c r="V124" s="38"/>
      <c r="W124" s="38"/>
      <c r="X124" s="117"/>
      <c r="Y124" s="117"/>
      <c r="Z124" s="166"/>
      <c r="AA124" s="268"/>
      <c r="AB124" s="268"/>
      <c r="AC124" s="268"/>
      <c r="AD124" s="268"/>
      <c r="AE124" s="269"/>
    </row>
    <row r="125" spans="1:31" s="42" customFormat="1" ht="37.5">
      <c r="A125" s="220">
        <f>A123+1</f>
        <v>52</v>
      </c>
      <c r="B125" s="209" t="s">
        <v>311</v>
      </c>
      <c r="C125" s="93" t="s">
        <v>66</v>
      </c>
      <c r="D125" s="110" t="s">
        <v>5</v>
      </c>
      <c r="E125" s="110" t="s">
        <v>5</v>
      </c>
      <c r="F125" s="111">
        <f>600/1000</f>
        <v>0.6</v>
      </c>
      <c r="G125" s="93" t="s">
        <v>74</v>
      </c>
      <c r="H125" s="96">
        <f t="shared" si="2"/>
        <v>734.9</v>
      </c>
      <c r="I125" s="96"/>
      <c r="J125" s="96"/>
      <c r="K125" s="96"/>
      <c r="L125" s="96"/>
      <c r="M125" s="96"/>
      <c r="N125" s="136"/>
      <c r="O125" s="136"/>
      <c r="P125" s="136">
        <v>734.9</v>
      </c>
      <c r="Q125" s="96"/>
      <c r="R125" s="96"/>
      <c r="S125" s="224"/>
      <c r="T125" s="47">
        <f t="shared" si="3"/>
        <v>0</v>
      </c>
      <c r="U125" s="35"/>
      <c r="V125" s="35"/>
      <c r="W125" s="35"/>
      <c r="X125" s="96"/>
      <c r="Y125" s="96"/>
      <c r="Z125" s="253"/>
      <c r="AA125" s="278"/>
      <c r="AB125" s="278"/>
      <c r="AC125" s="278"/>
      <c r="AD125" s="278"/>
      <c r="AE125" s="279"/>
    </row>
    <row r="126" spans="1:31" s="42" customFormat="1" ht="38.25" thickBot="1">
      <c r="A126" s="221"/>
      <c r="B126" s="214"/>
      <c r="C126" s="114" t="s">
        <v>8</v>
      </c>
      <c r="D126" s="115"/>
      <c r="E126" s="115"/>
      <c r="F126" s="116"/>
      <c r="G126" s="114" t="s">
        <v>148</v>
      </c>
      <c r="H126" s="117">
        <f t="shared" si="2"/>
        <v>15256.5</v>
      </c>
      <c r="I126" s="117"/>
      <c r="J126" s="117"/>
      <c r="K126" s="117"/>
      <c r="L126" s="117"/>
      <c r="M126" s="117"/>
      <c r="N126" s="117"/>
      <c r="O126" s="117"/>
      <c r="P126" s="117"/>
      <c r="Q126" s="117">
        <v>15256.5</v>
      </c>
      <c r="R126" s="117"/>
      <c r="S126" s="201"/>
      <c r="T126" s="39">
        <f t="shared" si="3"/>
        <v>0</v>
      </c>
      <c r="U126" s="38"/>
      <c r="V126" s="38"/>
      <c r="W126" s="38"/>
      <c r="X126" s="117"/>
      <c r="Y126" s="117"/>
      <c r="Z126" s="166"/>
      <c r="AA126" s="268"/>
      <c r="AB126" s="268"/>
      <c r="AC126" s="268"/>
      <c r="AD126" s="268"/>
      <c r="AE126" s="269"/>
    </row>
    <row r="127" spans="1:31" s="42" customFormat="1" ht="37.5">
      <c r="A127" s="220">
        <f>A125+1</f>
        <v>53</v>
      </c>
      <c r="B127" s="209" t="s">
        <v>225</v>
      </c>
      <c r="C127" s="93" t="s">
        <v>66</v>
      </c>
      <c r="D127" s="110" t="s">
        <v>5</v>
      </c>
      <c r="E127" s="110" t="s">
        <v>5</v>
      </c>
      <c r="F127" s="111">
        <f>500/1000</f>
        <v>0.5</v>
      </c>
      <c r="G127" s="93" t="s">
        <v>216</v>
      </c>
      <c r="H127" s="96">
        <f t="shared" si="2"/>
        <v>1714.8</v>
      </c>
      <c r="I127" s="96"/>
      <c r="J127" s="96"/>
      <c r="K127" s="96"/>
      <c r="L127" s="96"/>
      <c r="M127" s="96"/>
      <c r="N127" s="96"/>
      <c r="O127" s="96"/>
      <c r="P127" s="96">
        <v>1714.8</v>
      </c>
      <c r="Q127" s="96"/>
      <c r="R127" s="96"/>
      <c r="S127" s="224"/>
      <c r="T127" s="47">
        <f t="shared" si="3"/>
        <v>0</v>
      </c>
      <c r="U127" s="35"/>
      <c r="V127" s="35"/>
      <c r="W127" s="35"/>
      <c r="X127" s="96"/>
      <c r="Y127" s="96"/>
      <c r="Z127" s="253"/>
      <c r="AA127" s="278"/>
      <c r="AB127" s="278"/>
      <c r="AC127" s="278"/>
      <c r="AD127" s="278"/>
      <c r="AE127" s="279"/>
    </row>
    <row r="128" spans="1:31" s="42" customFormat="1" ht="59.25" customHeight="1" thickBot="1">
      <c r="A128" s="221"/>
      <c r="B128" s="214"/>
      <c r="C128" s="114" t="s">
        <v>8</v>
      </c>
      <c r="D128" s="115"/>
      <c r="E128" s="115"/>
      <c r="F128" s="116"/>
      <c r="G128" s="114" t="s">
        <v>148</v>
      </c>
      <c r="H128" s="117">
        <f t="shared" si="2"/>
        <v>35598.6</v>
      </c>
      <c r="I128" s="117"/>
      <c r="J128" s="117"/>
      <c r="K128" s="117"/>
      <c r="L128" s="117"/>
      <c r="M128" s="117"/>
      <c r="N128" s="117"/>
      <c r="O128" s="117"/>
      <c r="P128" s="117"/>
      <c r="Q128" s="117">
        <v>35598.6</v>
      </c>
      <c r="R128" s="117"/>
      <c r="S128" s="201"/>
      <c r="T128" s="39">
        <f t="shared" si="3"/>
        <v>0</v>
      </c>
      <c r="U128" s="38"/>
      <c r="V128" s="38"/>
      <c r="W128" s="38"/>
      <c r="X128" s="117"/>
      <c r="Y128" s="117"/>
      <c r="Z128" s="166"/>
      <c r="AA128" s="268"/>
      <c r="AB128" s="268"/>
      <c r="AC128" s="268"/>
      <c r="AD128" s="268"/>
      <c r="AE128" s="269"/>
    </row>
    <row r="129" spans="1:31" s="42" customFormat="1" ht="57" thickBot="1">
      <c r="A129" s="218">
        <f>A127+1</f>
        <v>54</v>
      </c>
      <c r="B129" s="217" t="s">
        <v>226</v>
      </c>
      <c r="C129" s="114" t="s">
        <v>8</v>
      </c>
      <c r="D129" s="125" t="s">
        <v>5</v>
      </c>
      <c r="E129" s="122" t="s">
        <v>5</v>
      </c>
      <c r="F129" s="169">
        <f>3000/1000</f>
        <v>3</v>
      </c>
      <c r="G129" s="114" t="s">
        <v>153</v>
      </c>
      <c r="H129" s="117">
        <f t="shared" si="2"/>
        <v>31203.899999999998</v>
      </c>
      <c r="I129" s="117"/>
      <c r="J129" s="117"/>
      <c r="K129" s="117"/>
      <c r="L129" s="117"/>
      <c r="M129" s="117"/>
      <c r="N129" s="117"/>
      <c r="O129" s="117"/>
      <c r="P129" s="117"/>
      <c r="Q129" s="117"/>
      <c r="R129" s="117">
        <v>14406.8</v>
      </c>
      <c r="S129" s="117">
        <v>16797.1</v>
      </c>
      <c r="T129" s="39">
        <f t="shared" si="3"/>
        <v>0</v>
      </c>
      <c r="U129" s="38"/>
      <c r="V129" s="38"/>
      <c r="W129" s="38"/>
      <c r="X129" s="117"/>
      <c r="Y129" s="117"/>
      <c r="Z129" s="166"/>
      <c r="AA129" s="268"/>
      <c r="AB129" s="268"/>
      <c r="AC129" s="268"/>
      <c r="AD129" s="268"/>
      <c r="AE129" s="269"/>
    </row>
    <row r="130" spans="1:31" s="42" customFormat="1" ht="57" thickBot="1">
      <c r="A130" s="218">
        <v>55</v>
      </c>
      <c r="B130" s="217" t="s">
        <v>227</v>
      </c>
      <c r="C130" s="93" t="s">
        <v>66</v>
      </c>
      <c r="D130" s="125" t="s">
        <v>5</v>
      </c>
      <c r="E130" s="122" t="s">
        <v>5</v>
      </c>
      <c r="F130" s="169">
        <f>4184/1000</f>
        <v>4.184</v>
      </c>
      <c r="G130" s="114" t="s">
        <v>217</v>
      </c>
      <c r="H130" s="117">
        <f t="shared" si="2"/>
        <v>4000</v>
      </c>
      <c r="I130" s="117"/>
      <c r="J130" s="117"/>
      <c r="K130" s="117"/>
      <c r="L130" s="117"/>
      <c r="M130" s="117"/>
      <c r="N130" s="117"/>
      <c r="O130" s="117"/>
      <c r="P130" s="117"/>
      <c r="Q130" s="117"/>
      <c r="R130" s="117">
        <v>4000</v>
      </c>
      <c r="S130" s="201"/>
      <c r="T130" s="39">
        <f t="shared" si="3"/>
        <v>0</v>
      </c>
      <c r="U130" s="38"/>
      <c r="V130" s="38"/>
      <c r="W130" s="38"/>
      <c r="X130" s="117"/>
      <c r="Y130" s="117"/>
      <c r="Z130" s="166"/>
      <c r="AA130" s="268"/>
      <c r="AB130" s="268"/>
      <c r="AC130" s="268"/>
      <c r="AD130" s="268"/>
      <c r="AE130" s="269"/>
    </row>
    <row r="131" spans="1:31" s="42" customFormat="1" ht="37.5">
      <c r="A131" s="220">
        <v>56</v>
      </c>
      <c r="B131" s="209" t="s">
        <v>228</v>
      </c>
      <c r="C131" s="93" t="s">
        <v>66</v>
      </c>
      <c r="D131" s="110" t="s">
        <v>5</v>
      </c>
      <c r="E131" s="110" t="s">
        <v>5</v>
      </c>
      <c r="F131" s="111">
        <f>12000/1000</f>
        <v>12</v>
      </c>
      <c r="G131" s="93" t="s">
        <v>74</v>
      </c>
      <c r="H131" s="96">
        <f t="shared" si="2"/>
        <v>760</v>
      </c>
      <c r="I131" s="96"/>
      <c r="J131" s="96"/>
      <c r="K131" s="96"/>
      <c r="L131" s="96"/>
      <c r="M131" s="96"/>
      <c r="N131" s="96"/>
      <c r="O131" s="96"/>
      <c r="P131" s="96"/>
      <c r="Q131" s="96"/>
      <c r="R131" s="96">
        <v>760</v>
      </c>
      <c r="S131" s="224"/>
      <c r="T131" s="47">
        <f t="shared" si="3"/>
        <v>0</v>
      </c>
      <c r="U131" s="35"/>
      <c r="V131" s="35"/>
      <c r="W131" s="35"/>
      <c r="X131" s="96"/>
      <c r="Y131" s="96"/>
      <c r="Z131" s="253"/>
      <c r="AA131" s="278"/>
      <c r="AB131" s="278"/>
      <c r="AC131" s="278"/>
      <c r="AD131" s="278"/>
      <c r="AE131" s="279"/>
    </row>
    <row r="132" spans="1:31" s="42" customFormat="1" ht="138" customHeight="1" thickBot="1">
      <c r="A132" s="221"/>
      <c r="B132" s="214"/>
      <c r="C132" s="167" t="s">
        <v>8</v>
      </c>
      <c r="D132" s="115"/>
      <c r="E132" s="115"/>
      <c r="F132" s="116"/>
      <c r="G132" s="114" t="s">
        <v>153</v>
      </c>
      <c r="H132" s="117">
        <f t="shared" si="2"/>
        <v>5000</v>
      </c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>
        <v>5000</v>
      </c>
      <c r="T132" s="39">
        <f t="shared" si="3"/>
        <v>0</v>
      </c>
      <c r="U132" s="38"/>
      <c r="V132" s="38"/>
      <c r="W132" s="38"/>
      <c r="X132" s="117"/>
      <c r="Y132" s="117"/>
      <c r="Z132" s="166"/>
      <c r="AA132" s="268"/>
      <c r="AB132" s="268"/>
      <c r="AC132" s="268"/>
      <c r="AD132" s="268"/>
      <c r="AE132" s="269"/>
    </row>
    <row r="133" spans="1:31" s="42" customFormat="1" ht="78" customHeight="1" thickBot="1">
      <c r="A133" s="218">
        <v>57</v>
      </c>
      <c r="B133" s="217" t="s">
        <v>229</v>
      </c>
      <c r="C133" s="114" t="s">
        <v>66</v>
      </c>
      <c r="D133" s="125" t="s">
        <v>5</v>
      </c>
      <c r="E133" s="122" t="s">
        <v>5</v>
      </c>
      <c r="F133" s="169">
        <f>200/1000</f>
        <v>0.2</v>
      </c>
      <c r="G133" s="114" t="s">
        <v>74</v>
      </c>
      <c r="H133" s="117">
        <f t="shared" si="2"/>
        <v>1400</v>
      </c>
      <c r="I133" s="117"/>
      <c r="J133" s="117"/>
      <c r="K133" s="117"/>
      <c r="L133" s="117"/>
      <c r="M133" s="117"/>
      <c r="N133" s="117"/>
      <c r="O133" s="117"/>
      <c r="P133" s="117"/>
      <c r="Q133" s="117"/>
      <c r="R133" s="117">
        <v>1400</v>
      </c>
      <c r="S133" s="201"/>
      <c r="T133" s="39">
        <f t="shared" si="3"/>
        <v>0</v>
      </c>
      <c r="U133" s="38"/>
      <c r="V133" s="38"/>
      <c r="W133" s="38"/>
      <c r="X133" s="117"/>
      <c r="Y133" s="117"/>
      <c r="Z133" s="166"/>
      <c r="AA133" s="268"/>
      <c r="AB133" s="268"/>
      <c r="AC133" s="268"/>
      <c r="AD133" s="268"/>
      <c r="AE133" s="269"/>
    </row>
    <row r="134" spans="1:31" s="42" customFormat="1" ht="57" customHeight="1">
      <c r="A134" s="220">
        <v>58</v>
      </c>
      <c r="B134" s="209" t="s">
        <v>230</v>
      </c>
      <c r="C134" s="93" t="s">
        <v>8</v>
      </c>
      <c r="D134" s="110" t="s">
        <v>5</v>
      </c>
      <c r="E134" s="110" t="s">
        <v>5</v>
      </c>
      <c r="F134" s="111">
        <f>500/1000</f>
        <v>0.5</v>
      </c>
      <c r="G134" s="93" t="s">
        <v>153</v>
      </c>
      <c r="H134" s="96">
        <f t="shared" si="2"/>
        <v>3250</v>
      </c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224">
        <v>3250</v>
      </c>
      <c r="T134" s="47">
        <f t="shared" si="3"/>
        <v>0</v>
      </c>
      <c r="U134" s="35"/>
      <c r="V134" s="35"/>
      <c r="W134" s="35"/>
      <c r="X134" s="96"/>
      <c r="Y134" s="96"/>
      <c r="Z134" s="253"/>
      <c r="AA134" s="278"/>
      <c r="AB134" s="278"/>
      <c r="AC134" s="278"/>
      <c r="AD134" s="278"/>
      <c r="AE134" s="279"/>
    </row>
    <row r="135" spans="1:31" s="42" customFormat="1" ht="38.25" thickBot="1">
      <c r="A135" s="221"/>
      <c r="B135" s="214"/>
      <c r="C135" s="114" t="s">
        <v>66</v>
      </c>
      <c r="D135" s="115"/>
      <c r="E135" s="115"/>
      <c r="F135" s="116"/>
      <c r="G135" s="114" t="s">
        <v>74</v>
      </c>
      <c r="H135" s="104">
        <f t="shared" si="2"/>
        <v>500</v>
      </c>
      <c r="I135" s="117"/>
      <c r="J135" s="117"/>
      <c r="K135" s="117"/>
      <c r="L135" s="117"/>
      <c r="M135" s="117"/>
      <c r="N135" s="117"/>
      <c r="O135" s="117"/>
      <c r="P135" s="117"/>
      <c r="Q135" s="117"/>
      <c r="R135" s="117">
        <v>500</v>
      </c>
      <c r="S135" s="201"/>
      <c r="T135" s="39">
        <f t="shared" si="3"/>
        <v>0</v>
      </c>
      <c r="U135" s="38"/>
      <c r="V135" s="38"/>
      <c r="W135" s="38"/>
      <c r="X135" s="117"/>
      <c r="Y135" s="117"/>
      <c r="Z135" s="166"/>
      <c r="AA135" s="268"/>
      <c r="AB135" s="268"/>
      <c r="AC135" s="268"/>
      <c r="AD135" s="268"/>
      <c r="AE135" s="269"/>
    </row>
    <row r="136" spans="1:31" s="42" customFormat="1" ht="37.5">
      <c r="A136" s="220">
        <f>A134+1</f>
        <v>59</v>
      </c>
      <c r="B136" s="209" t="s">
        <v>231</v>
      </c>
      <c r="C136" s="93" t="s">
        <v>66</v>
      </c>
      <c r="D136" s="110" t="s">
        <v>5</v>
      </c>
      <c r="E136" s="110" t="s">
        <v>5</v>
      </c>
      <c r="F136" s="111">
        <f>2100/1000</f>
        <v>2.1</v>
      </c>
      <c r="G136" s="93" t="s">
        <v>74</v>
      </c>
      <c r="H136" s="96">
        <f t="shared" si="2"/>
        <v>1470</v>
      </c>
      <c r="I136" s="96"/>
      <c r="J136" s="96"/>
      <c r="K136" s="96"/>
      <c r="L136" s="96"/>
      <c r="M136" s="96"/>
      <c r="N136" s="96"/>
      <c r="O136" s="96"/>
      <c r="P136" s="96"/>
      <c r="Q136" s="96"/>
      <c r="R136" s="96">
        <v>1470</v>
      </c>
      <c r="S136" s="224"/>
      <c r="T136" s="47">
        <f t="shared" si="3"/>
        <v>0</v>
      </c>
      <c r="U136" s="35"/>
      <c r="V136" s="35"/>
      <c r="W136" s="35"/>
      <c r="X136" s="96"/>
      <c r="Y136" s="96"/>
      <c r="Z136" s="253"/>
      <c r="AA136" s="278"/>
      <c r="AB136" s="278"/>
      <c r="AC136" s="278"/>
      <c r="AD136" s="278"/>
      <c r="AE136" s="279"/>
    </row>
    <row r="137" spans="1:31" s="42" customFormat="1" ht="38.25" thickBot="1">
      <c r="A137" s="221"/>
      <c r="B137" s="214"/>
      <c r="C137" s="114" t="s">
        <v>8</v>
      </c>
      <c r="D137" s="115"/>
      <c r="E137" s="115"/>
      <c r="F137" s="116"/>
      <c r="G137" s="114" t="s">
        <v>153</v>
      </c>
      <c r="H137" s="117">
        <f t="shared" si="2"/>
        <v>14700</v>
      </c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201">
        <v>14700</v>
      </c>
      <c r="T137" s="39">
        <f t="shared" si="3"/>
        <v>0</v>
      </c>
      <c r="U137" s="38"/>
      <c r="V137" s="38"/>
      <c r="W137" s="38"/>
      <c r="X137" s="117"/>
      <c r="Y137" s="117"/>
      <c r="Z137" s="166"/>
      <c r="AA137" s="268"/>
      <c r="AB137" s="268"/>
      <c r="AC137" s="268"/>
      <c r="AD137" s="268"/>
      <c r="AE137" s="269"/>
    </row>
    <row r="138" spans="1:31" s="42" customFormat="1" ht="37.5">
      <c r="A138" s="220">
        <f>A136+1</f>
        <v>60</v>
      </c>
      <c r="B138" s="209" t="s">
        <v>232</v>
      </c>
      <c r="C138" s="93" t="s">
        <v>66</v>
      </c>
      <c r="D138" s="110" t="s">
        <v>5</v>
      </c>
      <c r="E138" s="110" t="s">
        <v>5</v>
      </c>
      <c r="F138" s="111">
        <f>5000/1000</f>
        <v>5</v>
      </c>
      <c r="G138" s="93" t="s">
        <v>74</v>
      </c>
      <c r="H138" s="96">
        <f t="shared" si="2"/>
        <v>3500</v>
      </c>
      <c r="I138" s="96"/>
      <c r="J138" s="96"/>
      <c r="K138" s="96"/>
      <c r="L138" s="96"/>
      <c r="M138" s="96"/>
      <c r="N138" s="96"/>
      <c r="O138" s="96"/>
      <c r="P138" s="96"/>
      <c r="Q138" s="96"/>
      <c r="R138" s="96">
        <v>3500</v>
      </c>
      <c r="S138" s="224"/>
      <c r="T138" s="47">
        <f t="shared" si="3"/>
        <v>0</v>
      </c>
      <c r="U138" s="35"/>
      <c r="V138" s="35"/>
      <c r="W138" s="35"/>
      <c r="X138" s="96"/>
      <c r="Y138" s="96"/>
      <c r="Z138" s="253"/>
      <c r="AA138" s="278"/>
      <c r="AB138" s="278"/>
      <c r="AC138" s="278"/>
      <c r="AD138" s="278"/>
      <c r="AE138" s="279"/>
    </row>
    <row r="139" spans="1:31" s="42" customFormat="1" ht="61.5" customHeight="1" thickBot="1">
      <c r="A139" s="221"/>
      <c r="B139" s="214"/>
      <c r="C139" s="114" t="s">
        <v>8</v>
      </c>
      <c r="D139" s="115"/>
      <c r="E139" s="115"/>
      <c r="F139" s="116"/>
      <c r="G139" s="114" t="s">
        <v>153</v>
      </c>
      <c r="H139" s="117">
        <f t="shared" si="2"/>
        <v>35000</v>
      </c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201">
        <v>35000</v>
      </c>
      <c r="T139" s="39">
        <f t="shared" si="3"/>
        <v>0</v>
      </c>
      <c r="U139" s="38"/>
      <c r="V139" s="38"/>
      <c r="W139" s="38"/>
      <c r="X139" s="117"/>
      <c r="Y139" s="117"/>
      <c r="Z139" s="166"/>
      <c r="AA139" s="268"/>
      <c r="AB139" s="268"/>
      <c r="AC139" s="268"/>
      <c r="AD139" s="268"/>
      <c r="AE139" s="269"/>
    </row>
    <row r="140" spans="1:31" s="42" customFormat="1" ht="37.5">
      <c r="A140" s="220">
        <f>A138+1</f>
        <v>61</v>
      </c>
      <c r="B140" s="209" t="s">
        <v>233</v>
      </c>
      <c r="C140" s="93" t="s">
        <v>66</v>
      </c>
      <c r="D140" s="110" t="s">
        <v>5</v>
      </c>
      <c r="E140" s="110" t="s">
        <v>5</v>
      </c>
      <c r="F140" s="111">
        <f>300/1000</f>
        <v>0.3</v>
      </c>
      <c r="G140" s="93" t="s">
        <v>74</v>
      </c>
      <c r="H140" s="96">
        <f t="shared" si="2"/>
        <v>97.5</v>
      </c>
      <c r="I140" s="96"/>
      <c r="J140" s="96"/>
      <c r="K140" s="96"/>
      <c r="L140" s="96"/>
      <c r="M140" s="96"/>
      <c r="N140" s="96"/>
      <c r="O140" s="96"/>
      <c r="P140" s="96"/>
      <c r="Q140" s="96"/>
      <c r="R140" s="96">
        <v>97.5</v>
      </c>
      <c r="S140" s="224"/>
      <c r="T140" s="47">
        <f t="shared" si="3"/>
        <v>0</v>
      </c>
      <c r="U140" s="35"/>
      <c r="V140" s="35"/>
      <c r="W140" s="35"/>
      <c r="X140" s="96"/>
      <c r="Y140" s="96"/>
      <c r="Z140" s="253"/>
      <c r="AA140" s="278"/>
      <c r="AB140" s="278"/>
      <c r="AC140" s="278"/>
      <c r="AD140" s="278"/>
      <c r="AE140" s="279"/>
    </row>
    <row r="141" spans="1:31" s="42" customFormat="1" ht="38.25" thickBot="1">
      <c r="A141" s="221"/>
      <c r="B141" s="214"/>
      <c r="C141" s="114" t="s">
        <v>8</v>
      </c>
      <c r="D141" s="115"/>
      <c r="E141" s="115"/>
      <c r="F141" s="116"/>
      <c r="G141" s="114" t="s">
        <v>153</v>
      </c>
      <c r="H141" s="117">
        <f t="shared" si="2"/>
        <v>1950</v>
      </c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201">
        <v>1950</v>
      </c>
      <c r="T141" s="39">
        <f t="shared" si="3"/>
        <v>0</v>
      </c>
      <c r="U141" s="38"/>
      <c r="V141" s="38"/>
      <c r="W141" s="38"/>
      <c r="X141" s="117"/>
      <c r="Y141" s="117"/>
      <c r="Z141" s="166"/>
      <c r="AA141" s="268"/>
      <c r="AB141" s="268"/>
      <c r="AC141" s="268"/>
      <c r="AD141" s="268"/>
      <c r="AE141" s="269"/>
    </row>
    <row r="142" spans="1:31" s="42" customFormat="1" ht="37.5">
      <c r="A142" s="220">
        <v>62</v>
      </c>
      <c r="B142" s="209" t="s">
        <v>234</v>
      </c>
      <c r="C142" s="93" t="s">
        <v>66</v>
      </c>
      <c r="D142" s="110" t="s">
        <v>5</v>
      </c>
      <c r="E142" s="110" t="s">
        <v>5</v>
      </c>
      <c r="F142" s="111">
        <f>210/1000</f>
        <v>0.21</v>
      </c>
      <c r="G142" s="93" t="s">
        <v>74</v>
      </c>
      <c r="H142" s="96">
        <f t="shared" si="2"/>
        <v>83.1</v>
      </c>
      <c r="I142" s="96"/>
      <c r="J142" s="96"/>
      <c r="K142" s="96"/>
      <c r="L142" s="96"/>
      <c r="M142" s="96"/>
      <c r="N142" s="96"/>
      <c r="O142" s="96"/>
      <c r="P142" s="96"/>
      <c r="Q142" s="96"/>
      <c r="R142" s="96">
        <v>83.1</v>
      </c>
      <c r="S142" s="224"/>
      <c r="T142" s="47">
        <f t="shared" si="3"/>
        <v>0</v>
      </c>
      <c r="U142" s="35"/>
      <c r="V142" s="35"/>
      <c r="W142" s="35"/>
      <c r="X142" s="96"/>
      <c r="Y142" s="96"/>
      <c r="Z142" s="253"/>
      <c r="AA142" s="278"/>
      <c r="AB142" s="278"/>
      <c r="AC142" s="278"/>
      <c r="AD142" s="278"/>
      <c r="AE142" s="279"/>
    </row>
    <row r="143" spans="1:31" s="42" customFormat="1" ht="38.25" thickBot="1">
      <c r="A143" s="221"/>
      <c r="B143" s="214"/>
      <c r="C143" s="114" t="s">
        <v>8</v>
      </c>
      <c r="D143" s="115"/>
      <c r="E143" s="115"/>
      <c r="F143" s="116"/>
      <c r="G143" s="114" t="s">
        <v>153</v>
      </c>
      <c r="H143" s="117">
        <f t="shared" si="2"/>
        <v>1879.6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201">
        <v>1879.6</v>
      </c>
      <c r="T143" s="39">
        <f t="shared" si="3"/>
        <v>0</v>
      </c>
      <c r="U143" s="38"/>
      <c r="V143" s="38"/>
      <c r="W143" s="38"/>
      <c r="X143" s="117"/>
      <c r="Y143" s="117"/>
      <c r="Z143" s="166"/>
      <c r="AA143" s="268"/>
      <c r="AB143" s="268"/>
      <c r="AC143" s="268"/>
      <c r="AD143" s="268"/>
      <c r="AE143" s="269"/>
    </row>
    <row r="144" spans="1:31" s="48" customFormat="1" ht="37.5">
      <c r="A144" s="220">
        <f>A142+1</f>
        <v>63</v>
      </c>
      <c r="B144" s="209" t="s">
        <v>235</v>
      </c>
      <c r="C144" s="93" t="s">
        <v>66</v>
      </c>
      <c r="D144" s="110" t="s">
        <v>5</v>
      </c>
      <c r="E144" s="110" t="s">
        <v>5</v>
      </c>
      <c r="F144" s="111">
        <f>1300/1000</f>
        <v>1.3</v>
      </c>
      <c r="G144" s="165" t="s">
        <v>74</v>
      </c>
      <c r="H144" s="136">
        <f t="shared" si="2"/>
        <v>422.5</v>
      </c>
      <c r="I144" s="136"/>
      <c r="J144" s="136"/>
      <c r="K144" s="136"/>
      <c r="L144" s="136"/>
      <c r="M144" s="136"/>
      <c r="N144" s="136"/>
      <c r="O144" s="136"/>
      <c r="P144" s="136"/>
      <c r="Q144" s="136"/>
      <c r="R144" s="136">
        <v>422.5</v>
      </c>
      <c r="S144" s="223"/>
      <c r="T144" s="47">
        <f t="shared" si="3"/>
        <v>0</v>
      </c>
      <c r="U144" s="45"/>
      <c r="V144" s="45"/>
      <c r="W144" s="45"/>
      <c r="X144" s="136"/>
      <c r="Y144" s="136"/>
      <c r="Z144" s="158"/>
      <c r="AA144" s="276"/>
      <c r="AB144" s="276"/>
      <c r="AC144" s="276"/>
      <c r="AD144" s="276"/>
      <c r="AE144" s="277"/>
    </row>
    <row r="145" spans="1:31" s="42" customFormat="1" ht="64.5" customHeight="1" thickBot="1">
      <c r="A145" s="221"/>
      <c r="B145" s="214"/>
      <c r="C145" s="114" t="s">
        <v>8</v>
      </c>
      <c r="D145" s="115"/>
      <c r="E145" s="115"/>
      <c r="F145" s="116"/>
      <c r="G145" s="114" t="s">
        <v>153</v>
      </c>
      <c r="H145" s="117">
        <f t="shared" si="2"/>
        <v>8450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201">
        <v>8450</v>
      </c>
      <c r="T145" s="39">
        <f t="shared" si="3"/>
        <v>0</v>
      </c>
      <c r="U145" s="38"/>
      <c r="V145" s="38"/>
      <c r="W145" s="38"/>
      <c r="X145" s="117"/>
      <c r="Y145" s="117"/>
      <c r="Z145" s="166"/>
      <c r="AA145" s="268"/>
      <c r="AB145" s="268"/>
      <c r="AC145" s="268"/>
      <c r="AD145" s="268"/>
      <c r="AE145" s="269"/>
    </row>
    <row r="146" spans="1:31" s="48" customFormat="1" ht="37.5">
      <c r="A146" s="220">
        <f>A144+1</f>
        <v>64</v>
      </c>
      <c r="B146" s="209" t="s">
        <v>236</v>
      </c>
      <c r="C146" s="93" t="s">
        <v>66</v>
      </c>
      <c r="D146" s="110" t="s">
        <v>5</v>
      </c>
      <c r="E146" s="110" t="s">
        <v>5</v>
      </c>
      <c r="F146" s="111">
        <f>1700/1000</f>
        <v>1.7</v>
      </c>
      <c r="G146" s="165" t="s">
        <v>74</v>
      </c>
      <c r="H146" s="136">
        <f t="shared" si="2"/>
        <v>1760</v>
      </c>
      <c r="I146" s="136"/>
      <c r="J146" s="136"/>
      <c r="K146" s="136"/>
      <c r="L146" s="136"/>
      <c r="M146" s="136"/>
      <c r="N146" s="136"/>
      <c r="O146" s="136"/>
      <c r="P146" s="136"/>
      <c r="Q146" s="136"/>
      <c r="R146" s="136">
        <v>1760</v>
      </c>
      <c r="S146" s="223"/>
      <c r="T146" s="47">
        <f t="shared" si="3"/>
        <v>0</v>
      </c>
      <c r="U146" s="45"/>
      <c r="V146" s="45"/>
      <c r="W146" s="45"/>
      <c r="X146" s="136"/>
      <c r="Y146" s="136"/>
      <c r="Z146" s="158"/>
      <c r="AA146" s="276"/>
      <c r="AB146" s="276"/>
      <c r="AC146" s="276"/>
      <c r="AD146" s="276"/>
      <c r="AE146" s="277"/>
    </row>
    <row r="147" spans="1:31" s="42" customFormat="1" ht="38.25" thickBot="1">
      <c r="A147" s="221"/>
      <c r="B147" s="214"/>
      <c r="C147" s="114" t="s">
        <v>8</v>
      </c>
      <c r="D147" s="115"/>
      <c r="E147" s="115"/>
      <c r="F147" s="116"/>
      <c r="G147" s="114" t="s">
        <v>153</v>
      </c>
      <c r="H147" s="117">
        <f t="shared" si="2"/>
        <v>11515</v>
      </c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201">
        <v>11515</v>
      </c>
      <c r="T147" s="39">
        <f t="shared" si="3"/>
        <v>0</v>
      </c>
      <c r="U147" s="38"/>
      <c r="V147" s="38"/>
      <c r="W147" s="38"/>
      <c r="X147" s="117"/>
      <c r="Y147" s="117"/>
      <c r="Z147" s="166"/>
      <c r="AA147" s="268"/>
      <c r="AB147" s="268"/>
      <c r="AC147" s="268"/>
      <c r="AD147" s="268"/>
      <c r="AE147" s="269"/>
    </row>
    <row r="148" spans="1:31" s="48" customFormat="1" ht="37.5">
      <c r="A148" s="220">
        <f>A146+1</f>
        <v>65</v>
      </c>
      <c r="B148" s="209" t="s">
        <v>237</v>
      </c>
      <c r="C148" s="93" t="s">
        <v>66</v>
      </c>
      <c r="D148" s="110" t="s">
        <v>5</v>
      </c>
      <c r="E148" s="110" t="s">
        <v>5</v>
      </c>
      <c r="F148" s="111">
        <f>1300/1000</f>
        <v>1.3</v>
      </c>
      <c r="G148" s="165" t="s">
        <v>218</v>
      </c>
      <c r="H148" s="136">
        <f t="shared" si="2"/>
        <v>422.5</v>
      </c>
      <c r="I148" s="136"/>
      <c r="J148" s="136"/>
      <c r="K148" s="136"/>
      <c r="L148" s="136"/>
      <c r="M148" s="136"/>
      <c r="N148" s="136"/>
      <c r="O148" s="136"/>
      <c r="P148" s="136"/>
      <c r="Q148" s="136"/>
      <c r="R148" s="136">
        <v>422.5</v>
      </c>
      <c r="S148" s="223"/>
      <c r="T148" s="47">
        <f t="shared" si="3"/>
        <v>0</v>
      </c>
      <c r="U148" s="45"/>
      <c r="V148" s="45"/>
      <c r="W148" s="45"/>
      <c r="X148" s="136"/>
      <c r="Y148" s="136"/>
      <c r="Z148" s="158"/>
      <c r="AA148" s="276"/>
      <c r="AB148" s="276"/>
      <c r="AC148" s="276"/>
      <c r="AD148" s="276"/>
      <c r="AE148" s="277"/>
    </row>
    <row r="149" spans="1:31" s="42" customFormat="1" ht="69" customHeight="1" thickBot="1">
      <c r="A149" s="221"/>
      <c r="B149" s="214"/>
      <c r="C149" s="114" t="s">
        <v>8</v>
      </c>
      <c r="D149" s="115"/>
      <c r="E149" s="115"/>
      <c r="F149" s="116"/>
      <c r="G149" s="114" t="s">
        <v>153</v>
      </c>
      <c r="H149" s="117">
        <f t="shared" si="2"/>
        <v>8450</v>
      </c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>
        <v>8450</v>
      </c>
      <c r="T149" s="39">
        <f t="shared" si="3"/>
        <v>0</v>
      </c>
      <c r="U149" s="38"/>
      <c r="V149" s="38"/>
      <c r="W149" s="38"/>
      <c r="X149" s="117"/>
      <c r="Y149" s="117"/>
      <c r="Z149" s="166"/>
      <c r="AA149" s="268"/>
      <c r="AB149" s="268"/>
      <c r="AC149" s="268"/>
      <c r="AD149" s="268"/>
      <c r="AE149" s="269"/>
    </row>
    <row r="150" spans="1:31" s="48" customFormat="1" ht="37.5">
      <c r="A150" s="220">
        <f>A148+1</f>
        <v>66</v>
      </c>
      <c r="B150" s="209" t="s">
        <v>238</v>
      </c>
      <c r="C150" s="93" t="s">
        <v>66</v>
      </c>
      <c r="D150" s="110" t="s">
        <v>5</v>
      </c>
      <c r="E150" s="110" t="s">
        <v>5</v>
      </c>
      <c r="F150" s="111">
        <f>700/1000</f>
        <v>0.7</v>
      </c>
      <c r="G150" s="165" t="s">
        <v>215</v>
      </c>
      <c r="H150" s="136">
        <f t="shared" si="2"/>
        <v>227.5</v>
      </c>
      <c r="I150" s="136"/>
      <c r="J150" s="136"/>
      <c r="K150" s="136"/>
      <c r="L150" s="136"/>
      <c r="M150" s="136"/>
      <c r="N150" s="136"/>
      <c r="O150" s="136"/>
      <c r="P150" s="136"/>
      <c r="Q150" s="136"/>
      <c r="R150" s="136">
        <v>227.5</v>
      </c>
      <c r="S150" s="223"/>
      <c r="T150" s="47">
        <f t="shared" si="3"/>
        <v>0</v>
      </c>
      <c r="U150" s="45"/>
      <c r="V150" s="45"/>
      <c r="W150" s="45"/>
      <c r="X150" s="136"/>
      <c r="Y150" s="136"/>
      <c r="Z150" s="158"/>
      <c r="AA150" s="276"/>
      <c r="AB150" s="276"/>
      <c r="AC150" s="276"/>
      <c r="AD150" s="276"/>
      <c r="AE150" s="277"/>
    </row>
    <row r="151" spans="1:31" s="42" customFormat="1" ht="38.25" thickBot="1">
      <c r="A151" s="221"/>
      <c r="B151" s="214"/>
      <c r="C151" s="114" t="s">
        <v>8</v>
      </c>
      <c r="D151" s="115"/>
      <c r="E151" s="115"/>
      <c r="F151" s="116"/>
      <c r="G151" s="114" t="s">
        <v>153</v>
      </c>
      <c r="H151" s="117">
        <f t="shared" si="2"/>
        <v>4550</v>
      </c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201">
        <v>4550</v>
      </c>
      <c r="T151" s="39">
        <f t="shared" si="3"/>
        <v>0</v>
      </c>
      <c r="U151" s="38"/>
      <c r="V151" s="38"/>
      <c r="W151" s="38"/>
      <c r="X151" s="117"/>
      <c r="Y151" s="117"/>
      <c r="Z151" s="166"/>
      <c r="AA151" s="268"/>
      <c r="AB151" s="268"/>
      <c r="AC151" s="268"/>
      <c r="AD151" s="268"/>
      <c r="AE151" s="269"/>
    </row>
    <row r="152" spans="1:31" s="48" customFormat="1" ht="37.5">
      <c r="A152" s="220">
        <f>A150+1</f>
        <v>67</v>
      </c>
      <c r="B152" s="209" t="s">
        <v>239</v>
      </c>
      <c r="C152" s="93" t="s">
        <v>66</v>
      </c>
      <c r="D152" s="110" t="s">
        <v>5</v>
      </c>
      <c r="E152" s="110" t="s">
        <v>5</v>
      </c>
      <c r="F152" s="111">
        <f>4500/1000</f>
        <v>4.5</v>
      </c>
      <c r="G152" s="165" t="s">
        <v>216</v>
      </c>
      <c r="H152" s="136">
        <f t="shared" si="2"/>
        <v>3500</v>
      </c>
      <c r="I152" s="136"/>
      <c r="J152" s="136"/>
      <c r="K152" s="136"/>
      <c r="L152" s="136"/>
      <c r="M152" s="136"/>
      <c r="N152" s="136"/>
      <c r="O152" s="136"/>
      <c r="P152" s="136"/>
      <c r="Q152" s="136"/>
      <c r="R152" s="136">
        <v>3500</v>
      </c>
      <c r="S152" s="223"/>
      <c r="T152" s="47">
        <f t="shared" si="3"/>
        <v>0</v>
      </c>
      <c r="U152" s="45"/>
      <c r="V152" s="45"/>
      <c r="W152" s="45"/>
      <c r="X152" s="136"/>
      <c r="Y152" s="136"/>
      <c r="Z152" s="158"/>
      <c r="AA152" s="276"/>
      <c r="AB152" s="276"/>
      <c r="AC152" s="276"/>
      <c r="AD152" s="276"/>
      <c r="AE152" s="277"/>
    </row>
    <row r="153" spans="1:31" s="42" customFormat="1" ht="142.5" customHeight="1" thickBot="1">
      <c r="A153" s="221"/>
      <c r="B153" s="214"/>
      <c r="C153" s="114" t="s">
        <v>8</v>
      </c>
      <c r="D153" s="115"/>
      <c r="E153" s="115"/>
      <c r="F153" s="116"/>
      <c r="G153" s="114" t="s">
        <v>153</v>
      </c>
      <c r="H153" s="117">
        <f t="shared" si="2"/>
        <v>29250</v>
      </c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>
        <v>29250</v>
      </c>
      <c r="T153" s="39">
        <f t="shared" si="3"/>
        <v>0</v>
      </c>
      <c r="U153" s="38"/>
      <c r="V153" s="38"/>
      <c r="W153" s="38"/>
      <c r="X153" s="117"/>
      <c r="Y153" s="117"/>
      <c r="Z153" s="166"/>
      <c r="AA153" s="268"/>
      <c r="AB153" s="268"/>
      <c r="AC153" s="268"/>
      <c r="AD153" s="268"/>
      <c r="AE153" s="269"/>
    </row>
    <row r="154" spans="1:31" s="48" customFormat="1" ht="53.25" customHeight="1">
      <c r="A154" s="220">
        <f>A152+1</f>
        <v>68</v>
      </c>
      <c r="B154" s="209" t="s">
        <v>240</v>
      </c>
      <c r="C154" s="93" t="s">
        <v>66</v>
      </c>
      <c r="D154" s="110" t="s">
        <v>5</v>
      </c>
      <c r="E154" s="110" t="s">
        <v>5</v>
      </c>
      <c r="F154" s="111">
        <f>3000/1000</f>
        <v>3</v>
      </c>
      <c r="G154" s="165" t="s">
        <v>74</v>
      </c>
      <c r="H154" s="136">
        <f t="shared" si="2"/>
        <v>1200</v>
      </c>
      <c r="I154" s="136"/>
      <c r="J154" s="136"/>
      <c r="K154" s="136"/>
      <c r="L154" s="136"/>
      <c r="M154" s="136"/>
      <c r="N154" s="136"/>
      <c r="O154" s="136"/>
      <c r="P154" s="136"/>
      <c r="Q154" s="136"/>
      <c r="R154" s="136">
        <v>1200</v>
      </c>
      <c r="S154" s="136"/>
      <c r="T154" s="47">
        <f t="shared" si="3"/>
        <v>0</v>
      </c>
      <c r="U154" s="45"/>
      <c r="V154" s="45"/>
      <c r="W154" s="45"/>
      <c r="X154" s="136"/>
      <c r="Y154" s="136"/>
      <c r="Z154" s="158"/>
      <c r="AA154" s="276"/>
      <c r="AB154" s="276"/>
      <c r="AC154" s="276"/>
      <c r="AD154" s="276"/>
      <c r="AE154" s="277"/>
    </row>
    <row r="155" spans="1:31" s="42" customFormat="1" ht="38.25" thickBot="1">
      <c r="A155" s="221"/>
      <c r="B155" s="214"/>
      <c r="C155" s="114" t="s">
        <v>8</v>
      </c>
      <c r="D155" s="115"/>
      <c r="E155" s="115"/>
      <c r="F155" s="116"/>
      <c r="G155" s="114" t="s">
        <v>153</v>
      </c>
      <c r="H155" s="117">
        <f t="shared" si="2"/>
        <v>21000</v>
      </c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>
        <v>21000</v>
      </c>
      <c r="T155" s="39">
        <f t="shared" si="3"/>
        <v>0</v>
      </c>
      <c r="U155" s="38"/>
      <c r="V155" s="38"/>
      <c r="W155" s="38"/>
      <c r="X155" s="117"/>
      <c r="Y155" s="117"/>
      <c r="Z155" s="166"/>
      <c r="AA155" s="268"/>
      <c r="AB155" s="268"/>
      <c r="AC155" s="268"/>
      <c r="AD155" s="268"/>
      <c r="AE155" s="269"/>
    </row>
    <row r="156" spans="1:31" s="48" customFormat="1" ht="37.5">
      <c r="A156" s="220">
        <f>A154+1</f>
        <v>69</v>
      </c>
      <c r="B156" s="209" t="s">
        <v>241</v>
      </c>
      <c r="C156" s="93" t="s">
        <v>66</v>
      </c>
      <c r="D156" s="110" t="s">
        <v>5</v>
      </c>
      <c r="E156" s="110" t="s">
        <v>5</v>
      </c>
      <c r="F156" s="111">
        <f>1400/1000</f>
        <v>1.4</v>
      </c>
      <c r="G156" s="165" t="s">
        <v>74</v>
      </c>
      <c r="H156" s="136">
        <f t="shared" si="2"/>
        <v>455</v>
      </c>
      <c r="I156" s="136"/>
      <c r="J156" s="136"/>
      <c r="K156" s="136"/>
      <c r="L156" s="136"/>
      <c r="M156" s="136"/>
      <c r="N156" s="136"/>
      <c r="O156" s="136"/>
      <c r="P156" s="136"/>
      <c r="Q156" s="136"/>
      <c r="R156" s="136">
        <v>455</v>
      </c>
      <c r="S156" s="136"/>
      <c r="T156" s="47">
        <f t="shared" si="3"/>
        <v>0</v>
      </c>
      <c r="U156" s="45"/>
      <c r="V156" s="45"/>
      <c r="W156" s="45"/>
      <c r="X156" s="136"/>
      <c r="Y156" s="136"/>
      <c r="Z156" s="158"/>
      <c r="AA156" s="276"/>
      <c r="AB156" s="276"/>
      <c r="AC156" s="276"/>
      <c r="AD156" s="276"/>
      <c r="AE156" s="277"/>
    </row>
    <row r="157" spans="1:31" s="42" customFormat="1" ht="135" customHeight="1" thickBot="1">
      <c r="A157" s="221"/>
      <c r="B157" s="214"/>
      <c r="C157" s="114" t="s">
        <v>8</v>
      </c>
      <c r="D157" s="115"/>
      <c r="E157" s="115"/>
      <c r="F157" s="116"/>
      <c r="G157" s="114" t="s">
        <v>153</v>
      </c>
      <c r="H157" s="117">
        <f t="shared" si="2"/>
        <v>9100</v>
      </c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>
        <v>9100</v>
      </c>
      <c r="T157" s="39">
        <f t="shared" si="3"/>
        <v>0</v>
      </c>
      <c r="U157" s="38"/>
      <c r="V157" s="38"/>
      <c r="W157" s="38"/>
      <c r="X157" s="117"/>
      <c r="Y157" s="117"/>
      <c r="Z157" s="166"/>
      <c r="AA157" s="268"/>
      <c r="AB157" s="268"/>
      <c r="AC157" s="268"/>
      <c r="AD157" s="268"/>
      <c r="AE157" s="269"/>
    </row>
    <row r="158" spans="1:31" s="48" customFormat="1" ht="37.5">
      <c r="A158" s="220">
        <f>A156+1</f>
        <v>70</v>
      </c>
      <c r="B158" s="209" t="s">
        <v>154</v>
      </c>
      <c r="C158" s="93" t="s">
        <v>66</v>
      </c>
      <c r="D158" s="110" t="s">
        <v>5</v>
      </c>
      <c r="E158" s="110" t="s">
        <v>5</v>
      </c>
      <c r="F158" s="111">
        <f>1350/1000</f>
        <v>1.35</v>
      </c>
      <c r="G158" s="165" t="s">
        <v>74</v>
      </c>
      <c r="H158" s="136">
        <f t="shared" si="2"/>
        <v>3195</v>
      </c>
      <c r="I158" s="136"/>
      <c r="J158" s="136"/>
      <c r="K158" s="136"/>
      <c r="L158" s="136"/>
      <c r="M158" s="136"/>
      <c r="N158" s="136"/>
      <c r="O158" s="136"/>
      <c r="P158" s="136"/>
      <c r="Q158" s="136"/>
      <c r="R158" s="136">
        <v>3195</v>
      </c>
      <c r="S158" s="136"/>
      <c r="T158" s="47">
        <f t="shared" si="3"/>
        <v>0</v>
      </c>
      <c r="U158" s="45"/>
      <c r="V158" s="45"/>
      <c r="W158" s="45"/>
      <c r="X158" s="136"/>
      <c r="Y158" s="136"/>
      <c r="Z158" s="158"/>
      <c r="AA158" s="276"/>
      <c r="AB158" s="276"/>
      <c r="AC158" s="276"/>
      <c r="AD158" s="276"/>
      <c r="AE158" s="277"/>
    </row>
    <row r="159" spans="1:31" s="42" customFormat="1" ht="38.25" thickBot="1">
      <c r="A159" s="221"/>
      <c r="B159" s="214"/>
      <c r="C159" s="114" t="s">
        <v>8</v>
      </c>
      <c r="D159" s="115"/>
      <c r="E159" s="115"/>
      <c r="F159" s="116"/>
      <c r="G159" s="114" t="s">
        <v>153</v>
      </c>
      <c r="H159" s="117">
        <f t="shared" si="2"/>
        <v>21382.5</v>
      </c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>
        <v>21382.5</v>
      </c>
      <c r="T159" s="39">
        <f t="shared" si="3"/>
        <v>0</v>
      </c>
      <c r="U159" s="38"/>
      <c r="V159" s="38"/>
      <c r="W159" s="38"/>
      <c r="X159" s="117"/>
      <c r="Y159" s="117"/>
      <c r="Z159" s="166"/>
      <c r="AA159" s="268"/>
      <c r="AB159" s="268"/>
      <c r="AC159" s="268"/>
      <c r="AD159" s="268"/>
      <c r="AE159" s="269"/>
    </row>
    <row r="160" spans="1:31" s="48" customFormat="1" ht="37.5">
      <c r="A160" s="220">
        <f>A158+1</f>
        <v>71</v>
      </c>
      <c r="B160" s="209" t="s">
        <v>242</v>
      </c>
      <c r="C160" s="93" t="s">
        <v>66</v>
      </c>
      <c r="D160" s="110" t="s">
        <v>5</v>
      </c>
      <c r="E160" s="110" t="s">
        <v>5</v>
      </c>
      <c r="F160" s="111">
        <f>1400/1000</f>
        <v>1.4</v>
      </c>
      <c r="G160" s="165" t="s">
        <v>151</v>
      </c>
      <c r="H160" s="136">
        <f t="shared" si="2"/>
        <v>1951.7</v>
      </c>
      <c r="I160" s="136"/>
      <c r="J160" s="136"/>
      <c r="K160" s="136"/>
      <c r="L160" s="136"/>
      <c r="M160" s="136"/>
      <c r="N160" s="136"/>
      <c r="O160" s="136">
        <v>1951.7</v>
      </c>
      <c r="P160" s="136"/>
      <c r="Q160" s="136"/>
      <c r="R160" s="136"/>
      <c r="S160" s="223"/>
      <c r="T160" s="47">
        <f t="shared" si="3"/>
        <v>0</v>
      </c>
      <c r="U160" s="45"/>
      <c r="V160" s="45"/>
      <c r="W160" s="45"/>
      <c r="X160" s="136"/>
      <c r="Y160" s="136"/>
      <c r="Z160" s="158"/>
      <c r="AA160" s="276"/>
      <c r="AB160" s="276"/>
      <c r="AC160" s="276"/>
      <c r="AD160" s="276"/>
      <c r="AE160" s="277"/>
    </row>
    <row r="161" spans="1:31" s="42" customFormat="1" ht="38.25" thickBot="1">
      <c r="A161" s="221"/>
      <c r="B161" s="214"/>
      <c r="C161" s="114" t="s">
        <v>8</v>
      </c>
      <c r="D161" s="115"/>
      <c r="E161" s="115"/>
      <c r="F161" s="116"/>
      <c r="G161" s="114" t="s">
        <v>146</v>
      </c>
      <c r="H161" s="117">
        <f t="shared" si="2"/>
        <v>40478.3</v>
      </c>
      <c r="I161" s="117"/>
      <c r="J161" s="117"/>
      <c r="K161" s="117"/>
      <c r="L161" s="117"/>
      <c r="M161" s="117"/>
      <c r="N161" s="117"/>
      <c r="O161" s="117"/>
      <c r="P161" s="117">
        <v>40478.3</v>
      </c>
      <c r="Q161" s="117"/>
      <c r="R161" s="117"/>
      <c r="S161" s="201"/>
      <c r="T161" s="39">
        <f t="shared" si="3"/>
        <v>0</v>
      </c>
      <c r="U161" s="38"/>
      <c r="V161" s="38"/>
      <c r="W161" s="38"/>
      <c r="X161" s="117"/>
      <c r="Y161" s="117"/>
      <c r="Z161" s="166"/>
      <c r="AA161" s="268"/>
      <c r="AB161" s="268"/>
      <c r="AC161" s="268"/>
      <c r="AD161" s="268"/>
      <c r="AE161" s="269"/>
    </row>
    <row r="162" spans="1:31" s="48" customFormat="1" ht="37.5">
      <c r="A162" s="220">
        <f>A160+1</f>
        <v>72</v>
      </c>
      <c r="B162" s="209" t="s">
        <v>243</v>
      </c>
      <c r="C162" s="93" t="s">
        <v>66</v>
      </c>
      <c r="D162" s="110" t="s">
        <v>5</v>
      </c>
      <c r="E162" s="110" t="s">
        <v>5</v>
      </c>
      <c r="F162" s="111">
        <f>500/1000</f>
        <v>0.5</v>
      </c>
      <c r="G162" s="165" t="s">
        <v>216</v>
      </c>
      <c r="H162" s="136">
        <f t="shared" si="2"/>
        <v>162.5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>
        <v>162.5</v>
      </c>
      <c r="S162" s="136"/>
      <c r="T162" s="47">
        <f t="shared" si="3"/>
        <v>0</v>
      </c>
      <c r="U162" s="45"/>
      <c r="V162" s="45"/>
      <c r="W162" s="45"/>
      <c r="X162" s="136"/>
      <c r="Y162" s="136"/>
      <c r="Z162" s="158"/>
      <c r="AA162" s="276"/>
      <c r="AB162" s="276"/>
      <c r="AC162" s="276"/>
      <c r="AD162" s="276"/>
      <c r="AE162" s="277"/>
    </row>
    <row r="163" spans="1:31" s="42" customFormat="1" ht="38.25" thickBot="1">
      <c r="A163" s="221"/>
      <c r="B163" s="214"/>
      <c r="C163" s="114" t="s">
        <v>8</v>
      </c>
      <c r="D163" s="115"/>
      <c r="E163" s="115"/>
      <c r="F163" s="116"/>
      <c r="G163" s="114" t="s">
        <v>153</v>
      </c>
      <c r="H163" s="117">
        <f t="shared" si="2"/>
        <v>3250</v>
      </c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>
        <v>3250</v>
      </c>
      <c r="T163" s="39">
        <f t="shared" si="3"/>
        <v>0</v>
      </c>
      <c r="U163" s="38"/>
      <c r="V163" s="38"/>
      <c r="W163" s="38"/>
      <c r="X163" s="117"/>
      <c r="Y163" s="117"/>
      <c r="Z163" s="166"/>
      <c r="AA163" s="268"/>
      <c r="AB163" s="268"/>
      <c r="AC163" s="268"/>
      <c r="AD163" s="268"/>
      <c r="AE163" s="269"/>
    </row>
    <row r="164" spans="1:31" s="48" customFormat="1" ht="37.5">
      <c r="A164" s="220">
        <f>A162+1</f>
        <v>73</v>
      </c>
      <c r="B164" s="209" t="s">
        <v>244</v>
      </c>
      <c r="C164" s="93" t="s">
        <v>66</v>
      </c>
      <c r="D164" s="110" t="s">
        <v>5</v>
      </c>
      <c r="E164" s="110" t="s">
        <v>5</v>
      </c>
      <c r="F164" s="111">
        <f>480/1000</f>
        <v>0.48</v>
      </c>
      <c r="G164" s="165" t="s">
        <v>74</v>
      </c>
      <c r="H164" s="136">
        <f t="shared" si="2"/>
        <v>156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>
        <v>156</v>
      </c>
      <c r="S164" s="136"/>
      <c r="T164" s="47">
        <f t="shared" si="3"/>
        <v>0</v>
      </c>
      <c r="U164" s="45"/>
      <c r="V164" s="45"/>
      <c r="W164" s="45"/>
      <c r="X164" s="136"/>
      <c r="Y164" s="136"/>
      <c r="Z164" s="158"/>
      <c r="AA164" s="276"/>
      <c r="AB164" s="276"/>
      <c r="AC164" s="276"/>
      <c r="AD164" s="276"/>
      <c r="AE164" s="277"/>
    </row>
    <row r="165" spans="1:31" s="42" customFormat="1" ht="38.25" thickBot="1">
      <c r="A165" s="221"/>
      <c r="B165" s="214"/>
      <c r="C165" s="114" t="s">
        <v>8</v>
      </c>
      <c r="D165" s="115"/>
      <c r="E165" s="115"/>
      <c r="F165" s="116"/>
      <c r="G165" s="114" t="s">
        <v>153</v>
      </c>
      <c r="H165" s="117">
        <f t="shared" si="2"/>
        <v>3120</v>
      </c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>
        <v>3120</v>
      </c>
      <c r="T165" s="39">
        <f t="shared" si="3"/>
        <v>0</v>
      </c>
      <c r="U165" s="38"/>
      <c r="V165" s="38"/>
      <c r="W165" s="38"/>
      <c r="X165" s="117"/>
      <c r="Y165" s="117"/>
      <c r="Z165" s="166"/>
      <c r="AA165" s="268"/>
      <c r="AB165" s="268"/>
      <c r="AC165" s="268"/>
      <c r="AD165" s="268"/>
      <c r="AE165" s="269"/>
    </row>
    <row r="166" spans="1:31" s="48" customFormat="1" ht="37.5">
      <c r="A166" s="220">
        <f>A164+1</f>
        <v>74</v>
      </c>
      <c r="B166" s="209" t="s">
        <v>245</v>
      </c>
      <c r="C166" s="93" t="s">
        <v>66</v>
      </c>
      <c r="D166" s="110" t="s">
        <v>5</v>
      </c>
      <c r="E166" s="110" t="s">
        <v>5</v>
      </c>
      <c r="F166" s="111">
        <f>360/1000</f>
        <v>0.36</v>
      </c>
      <c r="G166" s="165" t="s">
        <v>218</v>
      </c>
      <c r="H166" s="136">
        <f t="shared" si="2"/>
        <v>252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>
        <v>252</v>
      </c>
      <c r="S166" s="136"/>
      <c r="T166" s="47">
        <f t="shared" si="3"/>
        <v>0</v>
      </c>
      <c r="U166" s="45"/>
      <c r="V166" s="45"/>
      <c r="W166" s="45"/>
      <c r="X166" s="136"/>
      <c r="Y166" s="136"/>
      <c r="Z166" s="158"/>
      <c r="AA166" s="276"/>
      <c r="AB166" s="276"/>
      <c r="AC166" s="276"/>
      <c r="AD166" s="276"/>
      <c r="AE166" s="277"/>
    </row>
    <row r="167" spans="1:31" s="42" customFormat="1" ht="38.25" thickBot="1">
      <c r="A167" s="221"/>
      <c r="B167" s="214"/>
      <c r="C167" s="114" t="s">
        <v>8</v>
      </c>
      <c r="D167" s="115"/>
      <c r="E167" s="115"/>
      <c r="F167" s="116"/>
      <c r="G167" s="114" t="s">
        <v>153</v>
      </c>
      <c r="H167" s="117">
        <f t="shared" si="2"/>
        <v>2340</v>
      </c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>
        <v>2340</v>
      </c>
      <c r="T167" s="39">
        <f t="shared" si="3"/>
        <v>0</v>
      </c>
      <c r="U167" s="38"/>
      <c r="V167" s="38"/>
      <c r="W167" s="38"/>
      <c r="X167" s="117"/>
      <c r="Y167" s="117"/>
      <c r="Z167" s="166"/>
      <c r="AA167" s="268"/>
      <c r="AB167" s="268"/>
      <c r="AC167" s="268"/>
      <c r="AD167" s="268"/>
      <c r="AE167" s="269"/>
    </row>
    <row r="168" spans="1:31" s="48" customFormat="1" ht="36" customHeight="1">
      <c r="A168" s="220">
        <f>A166+1</f>
        <v>75</v>
      </c>
      <c r="B168" s="209" t="s">
        <v>246</v>
      </c>
      <c r="C168" s="93" t="s">
        <v>66</v>
      </c>
      <c r="D168" s="110" t="s">
        <v>5</v>
      </c>
      <c r="E168" s="110" t="s">
        <v>5</v>
      </c>
      <c r="F168" s="111">
        <f>360/1000</f>
        <v>0.36</v>
      </c>
      <c r="G168" s="165" t="s">
        <v>74</v>
      </c>
      <c r="H168" s="136">
        <f t="shared" si="2"/>
        <v>1390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>
        <v>1390</v>
      </c>
      <c r="S168" s="223"/>
      <c r="T168" s="47">
        <f t="shared" si="3"/>
        <v>0</v>
      </c>
      <c r="U168" s="45"/>
      <c r="V168" s="45"/>
      <c r="W168" s="45"/>
      <c r="X168" s="136"/>
      <c r="Y168" s="136"/>
      <c r="Z168" s="158"/>
      <c r="AA168" s="276"/>
      <c r="AB168" s="276"/>
      <c r="AC168" s="276"/>
      <c r="AD168" s="276"/>
      <c r="AE168" s="277"/>
    </row>
    <row r="169" spans="1:31" s="42" customFormat="1" ht="38.25" thickBot="1">
      <c r="A169" s="221"/>
      <c r="B169" s="214"/>
      <c r="C169" s="114" t="s">
        <v>8</v>
      </c>
      <c r="D169" s="115"/>
      <c r="E169" s="115"/>
      <c r="F169" s="116"/>
      <c r="G169" s="114" t="s">
        <v>153</v>
      </c>
      <c r="H169" s="117">
        <f t="shared" si="2"/>
        <v>10000</v>
      </c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201">
        <v>10000</v>
      </c>
      <c r="T169" s="39">
        <f t="shared" si="3"/>
        <v>0</v>
      </c>
      <c r="U169" s="38"/>
      <c r="V169" s="38"/>
      <c r="W169" s="38"/>
      <c r="X169" s="117"/>
      <c r="Y169" s="117"/>
      <c r="Z169" s="166"/>
      <c r="AA169" s="268"/>
      <c r="AB169" s="268"/>
      <c r="AC169" s="268"/>
      <c r="AD169" s="268"/>
      <c r="AE169" s="269"/>
    </row>
    <row r="170" spans="1:31" s="48" customFormat="1" ht="37.5">
      <c r="A170" s="220">
        <f>A168+1</f>
        <v>76</v>
      </c>
      <c r="B170" s="209" t="s">
        <v>247</v>
      </c>
      <c r="C170" s="93" t="s">
        <v>66</v>
      </c>
      <c r="D170" s="110" t="s">
        <v>5</v>
      </c>
      <c r="E170" s="110" t="s">
        <v>5</v>
      </c>
      <c r="F170" s="111">
        <f>400/1000</f>
        <v>0.4</v>
      </c>
      <c r="G170" s="165" t="s">
        <v>218</v>
      </c>
      <c r="H170" s="136">
        <f t="shared" si="2"/>
        <v>130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>
        <v>130</v>
      </c>
      <c r="S170" s="136"/>
      <c r="T170" s="47">
        <f aca="true" t="shared" si="4" ref="T170:T181">SUM(U170:AE170)</f>
        <v>0</v>
      </c>
      <c r="U170" s="45"/>
      <c r="V170" s="45"/>
      <c r="W170" s="45"/>
      <c r="X170" s="136"/>
      <c r="Y170" s="136"/>
      <c r="Z170" s="158"/>
      <c r="AA170" s="276"/>
      <c r="AB170" s="276"/>
      <c r="AC170" s="276"/>
      <c r="AD170" s="276"/>
      <c r="AE170" s="277"/>
    </row>
    <row r="171" spans="1:31" s="42" customFormat="1" ht="38.25" thickBot="1">
      <c r="A171" s="221"/>
      <c r="B171" s="214"/>
      <c r="C171" s="114" t="s">
        <v>8</v>
      </c>
      <c r="D171" s="115"/>
      <c r="E171" s="115"/>
      <c r="F171" s="116"/>
      <c r="G171" s="114" t="s">
        <v>153</v>
      </c>
      <c r="H171" s="117">
        <f t="shared" si="2"/>
        <v>2600</v>
      </c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>
        <v>2600</v>
      </c>
      <c r="T171" s="39">
        <f t="shared" si="4"/>
        <v>0</v>
      </c>
      <c r="U171" s="38"/>
      <c r="V171" s="38"/>
      <c r="W171" s="38"/>
      <c r="X171" s="117"/>
      <c r="Y171" s="117"/>
      <c r="Z171" s="166"/>
      <c r="AA171" s="268"/>
      <c r="AB171" s="268"/>
      <c r="AC171" s="268"/>
      <c r="AD171" s="268"/>
      <c r="AE171" s="269"/>
    </row>
    <row r="172" spans="1:31" s="48" customFormat="1" ht="37.5">
      <c r="A172" s="220">
        <f>A170+1</f>
        <v>77</v>
      </c>
      <c r="B172" s="209" t="s">
        <v>248</v>
      </c>
      <c r="C172" s="93" t="s">
        <v>66</v>
      </c>
      <c r="D172" s="110" t="s">
        <v>5</v>
      </c>
      <c r="E172" s="110" t="s">
        <v>5</v>
      </c>
      <c r="F172" s="111">
        <f>110/1000</f>
        <v>0.11</v>
      </c>
      <c r="G172" s="165" t="s">
        <v>74</v>
      </c>
      <c r="H172" s="136">
        <f t="shared" si="2"/>
        <v>35.8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>
        <v>35.8</v>
      </c>
      <c r="S172" s="136"/>
      <c r="T172" s="47">
        <f t="shared" si="4"/>
        <v>0</v>
      </c>
      <c r="U172" s="45"/>
      <c r="V172" s="45"/>
      <c r="W172" s="45"/>
      <c r="X172" s="136"/>
      <c r="Y172" s="136"/>
      <c r="Z172" s="158"/>
      <c r="AA172" s="276"/>
      <c r="AB172" s="276"/>
      <c r="AC172" s="276"/>
      <c r="AD172" s="276"/>
      <c r="AE172" s="277"/>
    </row>
    <row r="173" spans="1:31" s="42" customFormat="1" ht="38.25" thickBot="1">
      <c r="A173" s="221"/>
      <c r="B173" s="214"/>
      <c r="C173" s="114" t="s">
        <v>8</v>
      </c>
      <c r="D173" s="115"/>
      <c r="E173" s="115"/>
      <c r="F173" s="116"/>
      <c r="G173" s="114" t="s">
        <v>153</v>
      </c>
      <c r="H173" s="117">
        <f t="shared" si="2"/>
        <v>715</v>
      </c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>
        <v>715</v>
      </c>
      <c r="T173" s="39">
        <f t="shared" si="4"/>
        <v>0</v>
      </c>
      <c r="U173" s="38"/>
      <c r="V173" s="38"/>
      <c r="W173" s="38"/>
      <c r="X173" s="117"/>
      <c r="Y173" s="117"/>
      <c r="Z173" s="166"/>
      <c r="AA173" s="268"/>
      <c r="AB173" s="268"/>
      <c r="AC173" s="268"/>
      <c r="AD173" s="268"/>
      <c r="AE173" s="269"/>
    </row>
    <row r="174" spans="1:31" s="48" customFormat="1" ht="37.5">
      <c r="A174" s="220">
        <f>A172+1</f>
        <v>78</v>
      </c>
      <c r="B174" s="209" t="s">
        <v>249</v>
      </c>
      <c r="C174" s="93" t="s">
        <v>66</v>
      </c>
      <c r="D174" s="110" t="s">
        <v>5</v>
      </c>
      <c r="E174" s="110" t="s">
        <v>5</v>
      </c>
      <c r="F174" s="111">
        <f>50/1000</f>
        <v>0.05</v>
      </c>
      <c r="G174" s="165" t="s">
        <v>74</v>
      </c>
      <c r="H174" s="136">
        <f t="shared" si="2"/>
        <v>16.3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>
        <v>16.3</v>
      </c>
      <c r="S174" s="136"/>
      <c r="T174" s="47">
        <f t="shared" si="4"/>
        <v>0</v>
      </c>
      <c r="U174" s="45"/>
      <c r="V174" s="45"/>
      <c r="W174" s="45"/>
      <c r="X174" s="136"/>
      <c r="Y174" s="136"/>
      <c r="Z174" s="158"/>
      <c r="AA174" s="276"/>
      <c r="AB174" s="276"/>
      <c r="AC174" s="276"/>
      <c r="AD174" s="276"/>
      <c r="AE174" s="277"/>
    </row>
    <row r="175" spans="1:31" s="42" customFormat="1" ht="38.25" thickBot="1">
      <c r="A175" s="221"/>
      <c r="B175" s="214"/>
      <c r="C175" s="114" t="s">
        <v>8</v>
      </c>
      <c r="D175" s="115"/>
      <c r="E175" s="115"/>
      <c r="F175" s="116"/>
      <c r="G175" s="114" t="s">
        <v>153</v>
      </c>
      <c r="H175" s="117">
        <f t="shared" si="2"/>
        <v>325</v>
      </c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>
        <v>325</v>
      </c>
      <c r="T175" s="39">
        <f t="shared" si="4"/>
        <v>0</v>
      </c>
      <c r="U175" s="38"/>
      <c r="V175" s="38"/>
      <c r="W175" s="38"/>
      <c r="X175" s="117"/>
      <c r="Y175" s="117"/>
      <c r="Z175" s="166"/>
      <c r="AA175" s="268"/>
      <c r="AB175" s="268"/>
      <c r="AC175" s="268"/>
      <c r="AD175" s="268"/>
      <c r="AE175" s="269"/>
    </row>
    <row r="176" spans="1:31" s="48" customFormat="1" ht="37.5">
      <c r="A176" s="220">
        <f>A174+1</f>
        <v>79</v>
      </c>
      <c r="B176" s="209" t="s">
        <v>250</v>
      </c>
      <c r="C176" s="93" t="s">
        <v>66</v>
      </c>
      <c r="D176" s="110" t="s">
        <v>5</v>
      </c>
      <c r="E176" s="110" t="s">
        <v>5</v>
      </c>
      <c r="F176" s="111">
        <f>240/1000</f>
        <v>0.24</v>
      </c>
      <c r="G176" s="165" t="s">
        <v>216</v>
      </c>
      <c r="H176" s="136">
        <f t="shared" si="2"/>
        <v>78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>
        <v>78</v>
      </c>
      <c r="S176" s="136"/>
      <c r="T176" s="47">
        <f t="shared" si="4"/>
        <v>0</v>
      </c>
      <c r="U176" s="45"/>
      <c r="V176" s="45"/>
      <c r="W176" s="45"/>
      <c r="X176" s="136"/>
      <c r="Y176" s="136"/>
      <c r="Z176" s="158"/>
      <c r="AA176" s="276"/>
      <c r="AB176" s="276"/>
      <c r="AC176" s="276"/>
      <c r="AD176" s="276"/>
      <c r="AE176" s="277"/>
    </row>
    <row r="177" spans="1:31" s="42" customFormat="1" ht="38.25" thickBot="1">
      <c r="A177" s="221"/>
      <c r="B177" s="214"/>
      <c r="C177" s="114" t="s">
        <v>8</v>
      </c>
      <c r="D177" s="115"/>
      <c r="E177" s="115"/>
      <c r="F177" s="116"/>
      <c r="G177" s="114" t="s">
        <v>153</v>
      </c>
      <c r="H177" s="117">
        <f t="shared" si="2"/>
        <v>1560</v>
      </c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>
        <v>1560</v>
      </c>
      <c r="T177" s="39">
        <f t="shared" si="4"/>
        <v>0</v>
      </c>
      <c r="U177" s="38"/>
      <c r="V177" s="38"/>
      <c r="W177" s="38"/>
      <c r="X177" s="117"/>
      <c r="Y177" s="117"/>
      <c r="Z177" s="166"/>
      <c r="AA177" s="268"/>
      <c r="AB177" s="268"/>
      <c r="AC177" s="268"/>
      <c r="AD177" s="268"/>
      <c r="AE177" s="269"/>
    </row>
    <row r="178" spans="1:31" s="48" customFormat="1" ht="37.5">
      <c r="A178" s="220">
        <f>A176+1</f>
        <v>80</v>
      </c>
      <c r="B178" s="209" t="s">
        <v>251</v>
      </c>
      <c r="C178" s="93" t="s">
        <v>66</v>
      </c>
      <c r="D178" s="110" t="s">
        <v>5</v>
      </c>
      <c r="E178" s="110" t="s">
        <v>5</v>
      </c>
      <c r="F178" s="111">
        <f>240/1000</f>
        <v>0.24</v>
      </c>
      <c r="G178" s="165" t="s">
        <v>74</v>
      </c>
      <c r="H178" s="136">
        <f t="shared" si="2"/>
        <v>78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>
        <v>78</v>
      </c>
      <c r="S178" s="136"/>
      <c r="T178" s="47">
        <f t="shared" si="4"/>
        <v>0</v>
      </c>
      <c r="U178" s="45"/>
      <c r="V178" s="45"/>
      <c r="W178" s="45"/>
      <c r="X178" s="136"/>
      <c r="Y178" s="136"/>
      <c r="Z178" s="158"/>
      <c r="AA178" s="276"/>
      <c r="AB178" s="276"/>
      <c r="AC178" s="276"/>
      <c r="AD178" s="276"/>
      <c r="AE178" s="277"/>
    </row>
    <row r="179" spans="1:31" s="42" customFormat="1" ht="38.25" thickBot="1">
      <c r="A179" s="221"/>
      <c r="B179" s="214"/>
      <c r="C179" s="114" t="s">
        <v>8</v>
      </c>
      <c r="D179" s="115"/>
      <c r="E179" s="115"/>
      <c r="F179" s="116"/>
      <c r="G179" s="114" t="s">
        <v>153</v>
      </c>
      <c r="H179" s="117">
        <f t="shared" si="2"/>
        <v>1560</v>
      </c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>
        <v>1560</v>
      </c>
      <c r="T179" s="39">
        <f t="shared" si="4"/>
        <v>0</v>
      </c>
      <c r="U179" s="38"/>
      <c r="V179" s="38"/>
      <c r="W179" s="38"/>
      <c r="X179" s="117"/>
      <c r="Y179" s="117"/>
      <c r="Z179" s="166"/>
      <c r="AA179" s="268"/>
      <c r="AB179" s="268"/>
      <c r="AC179" s="268"/>
      <c r="AD179" s="268"/>
      <c r="AE179" s="269"/>
    </row>
    <row r="180" spans="1:31" s="48" customFormat="1" ht="37.5">
      <c r="A180" s="220">
        <f>A178+1</f>
        <v>81</v>
      </c>
      <c r="B180" s="209" t="s">
        <v>252</v>
      </c>
      <c r="C180" s="93" t="s">
        <v>66</v>
      </c>
      <c r="D180" s="110" t="s">
        <v>5</v>
      </c>
      <c r="E180" s="110" t="s">
        <v>5</v>
      </c>
      <c r="F180" s="111">
        <f>275/1000</f>
        <v>0.275</v>
      </c>
      <c r="G180" s="165" t="s">
        <v>219</v>
      </c>
      <c r="H180" s="136">
        <f t="shared" si="2"/>
        <v>89.3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>
        <v>89.3</v>
      </c>
      <c r="S180" s="136"/>
      <c r="T180" s="47">
        <f t="shared" si="4"/>
        <v>0</v>
      </c>
      <c r="U180" s="45"/>
      <c r="V180" s="45"/>
      <c r="W180" s="45"/>
      <c r="X180" s="136"/>
      <c r="Y180" s="136"/>
      <c r="Z180" s="158"/>
      <c r="AA180" s="276"/>
      <c r="AB180" s="276"/>
      <c r="AC180" s="276"/>
      <c r="AD180" s="276"/>
      <c r="AE180" s="277"/>
    </row>
    <row r="181" spans="1:31" s="42" customFormat="1" ht="38.25" thickBot="1">
      <c r="A181" s="221"/>
      <c r="B181" s="214"/>
      <c r="C181" s="114" t="s">
        <v>8</v>
      </c>
      <c r="D181" s="115"/>
      <c r="E181" s="115"/>
      <c r="F181" s="116"/>
      <c r="G181" s="114" t="s">
        <v>153</v>
      </c>
      <c r="H181" s="117">
        <f t="shared" si="2"/>
        <v>1787.5</v>
      </c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>
        <v>1787.5</v>
      </c>
      <c r="T181" s="39">
        <f t="shared" si="4"/>
        <v>0</v>
      </c>
      <c r="U181" s="38"/>
      <c r="V181" s="38"/>
      <c r="W181" s="38"/>
      <c r="X181" s="117"/>
      <c r="Y181" s="117"/>
      <c r="Z181" s="166"/>
      <c r="AA181" s="268"/>
      <c r="AB181" s="268"/>
      <c r="AC181" s="268"/>
      <c r="AD181" s="268"/>
      <c r="AE181" s="269"/>
    </row>
    <row r="182" spans="1:31" s="48" customFormat="1" ht="37.5">
      <c r="A182" s="220">
        <v>82</v>
      </c>
      <c r="B182" s="209" t="s">
        <v>253</v>
      </c>
      <c r="C182" s="93" t="s">
        <v>66</v>
      </c>
      <c r="D182" s="110" t="s">
        <v>5</v>
      </c>
      <c r="E182" s="110" t="s">
        <v>5</v>
      </c>
      <c r="F182" s="111">
        <f>240/1000</f>
        <v>0.24</v>
      </c>
      <c r="G182" s="165" t="s">
        <v>74</v>
      </c>
      <c r="H182" s="136">
        <f aca="true" t="shared" si="5" ref="H182:H300">SUM(I182:S182)</f>
        <v>78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>
        <v>78</v>
      </c>
      <c r="S182" s="136"/>
      <c r="T182" s="47">
        <f aca="true" t="shared" si="6" ref="T182:T229">SUM(U182:AE182)</f>
        <v>0</v>
      </c>
      <c r="U182" s="45"/>
      <c r="V182" s="45"/>
      <c r="W182" s="45"/>
      <c r="X182" s="136"/>
      <c r="Y182" s="136"/>
      <c r="Z182" s="158"/>
      <c r="AA182" s="276"/>
      <c r="AB182" s="276"/>
      <c r="AC182" s="276"/>
      <c r="AD182" s="276"/>
      <c r="AE182" s="277"/>
    </row>
    <row r="183" spans="1:31" s="42" customFormat="1" ht="38.25" thickBot="1">
      <c r="A183" s="221"/>
      <c r="B183" s="214"/>
      <c r="C183" s="114" t="s">
        <v>8</v>
      </c>
      <c r="D183" s="115"/>
      <c r="E183" s="115"/>
      <c r="F183" s="116"/>
      <c r="G183" s="114" t="s">
        <v>153</v>
      </c>
      <c r="H183" s="117">
        <f t="shared" si="5"/>
        <v>1560</v>
      </c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>
        <v>1560</v>
      </c>
      <c r="T183" s="39">
        <f t="shared" si="6"/>
        <v>0</v>
      </c>
      <c r="U183" s="38"/>
      <c r="V183" s="38"/>
      <c r="W183" s="38"/>
      <c r="X183" s="117"/>
      <c r="Y183" s="117"/>
      <c r="Z183" s="166"/>
      <c r="AA183" s="268"/>
      <c r="AB183" s="268"/>
      <c r="AC183" s="268"/>
      <c r="AD183" s="268"/>
      <c r="AE183" s="269"/>
    </row>
    <row r="184" spans="1:31" s="48" customFormat="1" ht="37.5">
      <c r="A184" s="220">
        <v>83</v>
      </c>
      <c r="B184" s="209" t="s">
        <v>254</v>
      </c>
      <c r="C184" s="93" t="s">
        <v>66</v>
      </c>
      <c r="D184" s="110" t="s">
        <v>5</v>
      </c>
      <c r="E184" s="110" t="s">
        <v>5</v>
      </c>
      <c r="F184" s="111">
        <f>160/1000</f>
        <v>0.16</v>
      </c>
      <c r="G184" s="165" t="s">
        <v>74</v>
      </c>
      <c r="H184" s="136">
        <f t="shared" si="5"/>
        <v>52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>
        <v>52</v>
      </c>
      <c r="S184" s="136"/>
      <c r="T184" s="47">
        <f t="shared" si="6"/>
        <v>0</v>
      </c>
      <c r="U184" s="45"/>
      <c r="V184" s="45"/>
      <c r="W184" s="45"/>
      <c r="X184" s="136"/>
      <c r="Y184" s="136"/>
      <c r="Z184" s="158"/>
      <c r="AA184" s="276"/>
      <c r="AB184" s="276"/>
      <c r="AC184" s="276"/>
      <c r="AD184" s="276"/>
      <c r="AE184" s="277"/>
    </row>
    <row r="185" spans="1:31" s="42" customFormat="1" ht="38.25" thickBot="1">
      <c r="A185" s="221"/>
      <c r="B185" s="214"/>
      <c r="C185" s="114" t="s">
        <v>8</v>
      </c>
      <c r="D185" s="115"/>
      <c r="E185" s="115"/>
      <c r="F185" s="116"/>
      <c r="G185" s="114" t="s">
        <v>153</v>
      </c>
      <c r="H185" s="117">
        <f t="shared" si="5"/>
        <v>1040</v>
      </c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>
        <v>1040</v>
      </c>
      <c r="T185" s="39">
        <f t="shared" si="6"/>
        <v>0</v>
      </c>
      <c r="U185" s="38"/>
      <c r="V185" s="38"/>
      <c r="W185" s="38"/>
      <c r="X185" s="117"/>
      <c r="Y185" s="117"/>
      <c r="Z185" s="166"/>
      <c r="AA185" s="268"/>
      <c r="AB185" s="268"/>
      <c r="AC185" s="268"/>
      <c r="AD185" s="268"/>
      <c r="AE185" s="269"/>
    </row>
    <row r="186" spans="1:31" s="48" customFormat="1" ht="37.5">
      <c r="A186" s="220">
        <f>A184+1</f>
        <v>84</v>
      </c>
      <c r="B186" s="209" t="s">
        <v>255</v>
      </c>
      <c r="C186" s="93" t="s">
        <v>66</v>
      </c>
      <c r="D186" s="110" t="s">
        <v>5</v>
      </c>
      <c r="E186" s="110" t="s">
        <v>5</v>
      </c>
      <c r="F186" s="111">
        <f>180/1000</f>
        <v>0.18</v>
      </c>
      <c r="G186" s="165" t="s">
        <v>74</v>
      </c>
      <c r="H186" s="136">
        <f t="shared" si="5"/>
        <v>58.5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>
        <v>58.5</v>
      </c>
      <c r="S186" s="136"/>
      <c r="T186" s="47">
        <f t="shared" si="6"/>
        <v>0</v>
      </c>
      <c r="U186" s="45"/>
      <c r="V186" s="45"/>
      <c r="W186" s="45"/>
      <c r="X186" s="136"/>
      <c r="Y186" s="136"/>
      <c r="Z186" s="158"/>
      <c r="AA186" s="276"/>
      <c r="AB186" s="276"/>
      <c r="AC186" s="276"/>
      <c r="AD186" s="276"/>
      <c r="AE186" s="277"/>
    </row>
    <row r="187" spans="1:31" s="42" customFormat="1" ht="38.25" thickBot="1">
      <c r="A187" s="221"/>
      <c r="B187" s="214"/>
      <c r="C187" s="114" t="s">
        <v>8</v>
      </c>
      <c r="D187" s="115"/>
      <c r="E187" s="115"/>
      <c r="F187" s="116"/>
      <c r="G187" s="114" t="s">
        <v>153</v>
      </c>
      <c r="H187" s="117">
        <f t="shared" si="5"/>
        <v>1170</v>
      </c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>
        <v>1170</v>
      </c>
      <c r="T187" s="39">
        <f t="shared" si="6"/>
        <v>0</v>
      </c>
      <c r="U187" s="38"/>
      <c r="V187" s="38"/>
      <c r="W187" s="38"/>
      <c r="X187" s="117"/>
      <c r="Y187" s="117"/>
      <c r="Z187" s="166"/>
      <c r="AA187" s="268"/>
      <c r="AB187" s="268"/>
      <c r="AC187" s="268"/>
      <c r="AD187" s="268"/>
      <c r="AE187" s="269"/>
    </row>
    <row r="188" spans="1:31" s="48" customFormat="1" ht="37.5">
      <c r="A188" s="220">
        <f>A186+1</f>
        <v>85</v>
      </c>
      <c r="B188" s="209" t="s">
        <v>256</v>
      </c>
      <c r="C188" s="93" t="s">
        <v>66</v>
      </c>
      <c r="D188" s="110" t="s">
        <v>5</v>
      </c>
      <c r="E188" s="110" t="s">
        <v>5</v>
      </c>
      <c r="F188" s="111">
        <f>240/1000</f>
        <v>0.24</v>
      </c>
      <c r="G188" s="165" t="s">
        <v>74</v>
      </c>
      <c r="H188" s="136">
        <f t="shared" si="5"/>
        <v>78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>
        <v>78</v>
      </c>
      <c r="S188" s="136"/>
      <c r="T188" s="47">
        <f t="shared" si="6"/>
        <v>0</v>
      </c>
      <c r="U188" s="45"/>
      <c r="V188" s="45"/>
      <c r="W188" s="45"/>
      <c r="X188" s="136"/>
      <c r="Y188" s="136"/>
      <c r="Z188" s="158"/>
      <c r="AA188" s="276"/>
      <c r="AB188" s="276"/>
      <c r="AC188" s="276"/>
      <c r="AD188" s="276"/>
      <c r="AE188" s="277"/>
    </row>
    <row r="189" spans="1:31" s="42" customFormat="1" ht="38.25" thickBot="1">
      <c r="A189" s="221"/>
      <c r="B189" s="214"/>
      <c r="C189" s="114" t="s">
        <v>8</v>
      </c>
      <c r="D189" s="115"/>
      <c r="E189" s="115"/>
      <c r="F189" s="116"/>
      <c r="G189" s="114" t="s">
        <v>153</v>
      </c>
      <c r="H189" s="117">
        <f t="shared" si="5"/>
        <v>1560</v>
      </c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>
        <v>1560</v>
      </c>
      <c r="T189" s="39">
        <f t="shared" si="6"/>
        <v>0</v>
      </c>
      <c r="U189" s="38"/>
      <c r="V189" s="38"/>
      <c r="W189" s="38"/>
      <c r="X189" s="117"/>
      <c r="Y189" s="117"/>
      <c r="Z189" s="166"/>
      <c r="AA189" s="268"/>
      <c r="AB189" s="268"/>
      <c r="AC189" s="268"/>
      <c r="AD189" s="268"/>
      <c r="AE189" s="269"/>
    </row>
    <row r="190" spans="1:31" s="48" customFormat="1" ht="37.5">
      <c r="A190" s="220">
        <f>A188+1</f>
        <v>86</v>
      </c>
      <c r="B190" s="209" t="s">
        <v>257</v>
      </c>
      <c r="C190" s="93" t="s">
        <v>66</v>
      </c>
      <c r="D190" s="110" t="s">
        <v>5</v>
      </c>
      <c r="E190" s="110" t="s">
        <v>5</v>
      </c>
      <c r="F190" s="111">
        <f>500/1000</f>
        <v>0.5</v>
      </c>
      <c r="G190" s="165" t="s">
        <v>74</v>
      </c>
      <c r="H190" s="136">
        <f t="shared" si="5"/>
        <v>162.5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>
        <v>162.5</v>
      </c>
      <c r="S190" s="136"/>
      <c r="T190" s="47">
        <f t="shared" si="6"/>
        <v>0</v>
      </c>
      <c r="U190" s="45"/>
      <c r="V190" s="45"/>
      <c r="W190" s="45"/>
      <c r="X190" s="136"/>
      <c r="Y190" s="136"/>
      <c r="Z190" s="158"/>
      <c r="AA190" s="276"/>
      <c r="AB190" s="276"/>
      <c r="AC190" s="276"/>
      <c r="AD190" s="276"/>
      <c r="AE190" s="277"/>
    </row>
    <row r="191" spans="1:31" s="42" customFormat="1" ht="38.25" thickBot="1">
      <c r="A191" s="221"/>
      <c r="B191" s="214"/>
      <c r="C191" s="114" t="s">
        <v>8</v>
      </c>
      <c r="D191" s="115"/>
      <c r="E191" s="115"/>
      <c r="F191" s="116"/>
      <c r="G191" s="114" t="s">
        <v>153</v>
      </c>
      <c r="H191" s="117">
        <f t="shared" si="5"/>
        <v>3250</v>
      </c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>
        <v>3250</v>
      </c>
      <c r="T191" s="39">
        <f t="shared" si="6"/>
        <v>0</v>
      </c>
      <c r="U191" s="38"/>
      <c r="V191" s="38"/>
      <c r="W191" s="38"/>
      <c r="X191" s="117"/>
      <c r="Y191" s="117"/>
      <c r="Z191" s="166"/>
      <c r="AA191" s="268"/>
      <c r="AB191" s="268"/>
      <c r="AC191" s="268"/>
      <c r="AD191" s="268"/>
      <c r="AE191" s="269"/>
    </row>
    <row r="192" spans="1:31" s="48" customFormat="1" ht="49.5" customHeight="1">
      <c r="A192" s="220">
        <f>A190+1</f>
        <v>87</v>
      </c>
      <c r="B192" s="209" t="s">
        <v>258</v>
      </c>
      <c r="C192" s="93" t="s">
        <v>66</v>
      </c>
      <c r="D192" s="110" t="s">
        <v>5</v>
      </c>
      <c r="E192" s="110" t="s">
        <v>5</v>
      </c>
      <c r="F192" s="111">
        <f>110/1000</f>
        <v>0.11</v>
      </c>
      <c r="G192" s="165" t="s">
        <v>74</v>
      </c>
      <c r="H192" s="136">
        <f t="shared" si="5"/>
        <v>35.8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>
        <v>35.8</v>
      </c>
      <c r="S192" s="136"/>
      <c r="T192" s="47">
        <f t="shared" si="6"/>
        <v>0</v>
      </c>
      <c r="U192" s="45"/>
      <c r="V192" s="45"/>
      <c r="W192" s="45"/>
      <c r="X192" s="136"/>
      <c r="Y192" s="136"/>
      <c r="Z192" s="158"/>
      <c r="AA192" s="276"/>
      <c r="AB192" s="276"/>
      <c r="AC192" s="276"/>
      <c r="AD192" s="276"/>
      <c r="AE192" s="277"/>
    </row>
    <row r="193" spans="1:31" s="42" customFormat="1" ht="38.25" thickBot="1">
      <c r="A193" s="221"/>
      <c r="B193" s="214"/>
      <c r="C193" s="114" t="s">
        <v>8</v>
      </c>
      <c r="D193" s="115"/>
      <c r="E193" s="115"/>
      <c r="F193" s="116"/>
      <c r="G193" s="114" t="s">
        <v>153</v>
      </c>
      <c r="H193" s="117">
        <f t="shared" si="5"/>
        <v>715</v>
      </c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>
        <v>715</v>
      </c>
      <c r="T193" s="39">
        <f t="shared" si="6"/>
        <v>0</v>
      </c>
      <c r="U193" s="38"/>
      <c r="V193" s="38"/>
      <c r="W193" s="38"/>
      <c r="X193" s="117"/>
      <c r="Y193" s="117"/>
      <c r="Z193" s="166"/>
      <c r="AA193" s="268"/>
      <c r="AB193" s="268"/>
      <c r="AC193" s="268"/>
      <c r="AD193" s="268"/>
      <c r="AE193" s="269"/>
    </row>
    <row r="194" spans="1:31" s="48" customFormat="1" ht="37.5">
      <c r="A194" s="220">
        <f>A192+1</f>
        <v>88</v>
      </c>
      <c r="B194" s="209" t="s">
        <v>259</v>
      </c>
      <c r="C194" s="93" t="s">
        <v>66</v>
      </c>
      <c r="D194" s="110" t="s">
        <v>5</v>
      </c>
      <c r="E194" s="110" t="s">
        <v>5</v>
      </c>
      <c r="F194" s="111">
        <f>1130/1000</f>
        <v>1.13</v>
      </c>
      <c r="G194" s="165" t="s">
        <v>74</v>
      </c>
      <c r="H194" s="136">
        <f t="shared" si="5"/>
        <v>367.3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>
        <v>367.3</v>
      </c>
      <c r="S194" s="136"/>
      <c r="T194" s="47">
        <f t="shared" si="6"/>
        <v>0</v>
      </c>
      <c r="U194" s="45"/>
      <c r="V194" s="45"/>
      <c r="W194" s="45"/>
      <c r="X194" s="136"/>
      <c r="Y194" s="136"/>
      <c r="Z194" s="158"/>
      <c r="AA194" s="276"/>
      <c r="AB194" s="276"/>
      <c r="AC194" s="276"/>
      <c r="AD194" s="276"/>
      <c r="AE194" s="277"/>
    </row>
    <row r="195" spans="1:31" s="42" customFormat="1" ht="38.25" thickBot="1">
      <c r="A195" s="221"/>
      <c r="B195" s="214"/>
      <c r="C195" s="114" t="s">
        <v>8</v>
      </c>
      <c r="D195" s="115"/>
      <c r="E195" s="115"/>
      <c r="F195" s="116"/>
      <c r="G195" s="114" t="s">
        <v>153</v>
      </c>
      <c r="H195" s="117">
        <f t="shared" si="5"/>
        <v>7345</v>
      </c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>
        <v>7345</v>
      </c>
      <c r="T195" s="39">
        <f t="shared" si="6"/>
        <v>0</v>
      </c>
      <c r="U195" s="38"/>
      <c r="V195" s="38"/>
      <c r="W195" s="38"/>
      <c r="X195" s="117"/>
      <c r="Y195" s="117"/>
      <c r="Z195" s="166"/>
      <c r="AA195" s="268"/>
      <c r="AB195" s="268"/>
      <c r="AC195" s="268"/>
      <c r="AD195" s="268"/>
      <c r="AE195" s="269"/>
    </row>
    <row r="196" spans="1:31" s="48" customFormat="1" ht="37.5">
      <c r="A196" s="220">
        <f>A194+1</f>
        <v>89</v>
      </c>
      <c r="B196" s="209" t="s">
        <v>260</v>
      </c>
      <c r="C196" s="93" t="s">
        <v>66</v>
      </c>
      <c r="D196" s="110" t="s">
        <v>5</v>
      </c>
      <c r="E196" s="110" t="s">
        <v>5</v>
      </c>
      <c r="F196" s="111">
        <f>80/1000</f>
        <v>0.08</v>
      </c>
      <c r="G196" s="165" t="s">
        <v>74</v>
      </c>
      <c r="H196" s="136">
        <f t="shared" si="5"/>
        <v>26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>
        <v>26</v>
      </c>
      <c r="S196" s="136"/>
      <c r="T196" s="47">
        <f t="shared" si="6"/>
        <v>0</v>
      </c>
      <c r="U196" s="45"/>
      <c r="V196" s="45"/>
      <c r="W196" s="45"/>
      <c r="X196" s="136"/>
      <c r="Y196" s="136"/>
      <c r="Z196" s="158"/>
      <c r="AA196" s="276"/>
      <c r="AB196" s="276"/>
      <c r="AC196" s="276"/>
      <c r="AD196" s="276"/>
      <c r="AE196" s="277"/>
    </row>
    <row r="197" spans="1:31" s="42" customFormat="1" ht="38.25" thickBot="1">
      <c r="A197" s="221"/>
      <c r="B197" s="214"/>
      <c r="C197" s="114" t="s">
        <v>8</v>
      </c>
      <c r="D197" s="115"/>
      <c r="E197" s="115"/>
      <c r="F197" s="116"/>
      <c r="G197" s="114" t="s">
        <v>153</v>
      </c>
      <c r="H197" s="117">
        <f t="shared" si="5"/>
        <v>520</v>
      </c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>
        <v>520</v>
      </c>
      <c r="T197" s="39">
        <f t="shared" si="6"/>
        <v>0</v>
      </c>
      <c r="U197" s="38"/>
      <c r="V197" s="38"/>
      <c r="W197" s="38"/>
      <c r="X197" s="117"/>
      <c r="Y197" s="117"/>
      <c r="Z197" s="166"/>
      <c r="AA197" s="268"/>
      <c r="AB197" s="268"/>
      <c r="AC197" s="268"/>
      <c r="AD197" s="268"/>
      <c r="AE197" s="269"/>
    </row>
    <row r="198" spans="1:31" s="48" customFormat="1" ht="37.5">
      <c r="A198" s="220">
        <f>A196+1</f>
        <v>90</v>
      </c>
      <c r="B198" s="209" t="s">
        <v>261</v>
      </c>
      <c r="C198" s="93" t="s">
        <v>66</v>
      </c>
      <c r="D198" s="110" t="s">
        <v>5</v>
      </c>
      <c r="E198" s="110" t="s">
        <v>5</v>
      </c>
      <c r="F198" s="111">
        <f>60/1000</f>
        <v>0.06</v>
      </c>
      <c r="G198" s="165" t="s">
        <v>74</v>
      </c>
      <c r="H198" s="136">
        <f t="shared" si="5"/>
        <v>19.5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>
        <v>19.5</v>
      </c>
      <c r="S198" s="136"/>
      <c r="T198" s="47">
        <f t="shared" si="6"/>
        <v>0</v>
      </c>
      <c r="U198" s="45"/>
      <c r="V198" s="45"/>
      <c r="W198" s="45"/>
      <c r="X198" s="136"/>
      <c r="Y198" s="136"/>
      <c r="Z198" s="158"/>
      <c r="AA198" s="276"/>
      <c r="AB198" s="276"/>
      <c r="AC198" s="276"/>
      <c r="AD198" s="276"/>
      <c r="AE198" s="277"/>
    </row>
    <row r="199" spans="1:31" s="42" customFormat="1" ht="38.25" thickBot="1">
      <c r="A199" s="221"/>
      <c r="B199" s="214"/>
      <c r="C199" s="114" t="s">
        <v>8</v>
      </c>
      <c r="D199" s="115"/>
      <c r="E199" s="115"/>
      <c r="F199" s="116"/>
      <c r="G199" s="114" t="s">
        <v>153</v>
      </c>
      <c r="H199" s="117">
        <f t="shared" si="5"/>
        <v>390</v>
      </c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>
        <v>390</v>
      </c>
      <c r="T199" s="39">
        <f t="shared" si="6"/>
        <v>0</v>
      </c>
      <c r="U199" s="38"/>
      <c r="V199" s="38"/>
      <c r="W199" s="38"/>
      <c r="X199" s="117"/>
      <c r="Y199" s="117"/>
      <c r="Z199" s="166"/>
      <c r="AA199" s="268"/>
      <c r="AB199" s="268"/>
      <c r="AC199" s="268"/>
      <c r="AD199" s="268"/>
      <c r="AE199" s="269"/>
    </row>
    <row r="200" spans="1:31" s="48" customFormat="1" ht="37.5">
      <c r="A200" s="220">
        <f>A198+1</f>
        <v>91</v>
      </c>
      <c r="B200" s="209" t="s">
        <v>262</v>
      </c>
      <c r="C200" s="93" t="s">
        <v>66</v>
      </c>
      <c r="D200" s="110" t="s">
        <v>5</v>
      </c>
      <c r="E200" s="110" t="s">
        <v>5</v>
      </c>
      <c r="F200" s="111">
        <f>550/1000</f>
        <v>0.55</v>
      </c>
      <c r="G200" s="165" t="s">
        <v>74</v>
      </c>
      <c r="H200" s="136">
        <f t="shared" si="5"/>
        <v>178.8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>
        <v>178.8</v>
      </c>
      <c r="S200" s="136"/>
      <c r="T200" s="47">
        <f t="shared" si="6"/>
        <v>0</v>
      </c>
      <c r="U200" s="45"/>
      <c r="V200" s="45"/>
      <c r="W200" s="45"/>
      <c r="X200" s="136"/>
      <c r="Y200" s="136"/>
      <c r="Z200" s="158"/>
      <c r="AA200" s="276"/>
      <c r="AB200" s="276"/>
      <c r="AC200" s="276"/>
      <c r="AD200" s="276"/>
      <c r="AE200" s="277"/>
    </row>
    <row r="201" spans="1:31" s="42" customFormat="1" ht="38.25" thickBot="1">
      <c r="A201" s="221"/>
      <c r="B201" s="214"/>
      <c r="C201" s="114" t="s">
        <v>8</v>
      </c>
      <c r="D201" s="115"/>
      <c r="E201" s="115"/>
      <c r="F201" s="116"/>
      <c r="G201" s="114" t="s">
        <v>153</v>
      </c>
      <c r="H201" s="117">
        <f t="shared" si="5"/>
        <v>3575</v>
      </c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>
        <v>3575</v>
      </c>
      <c r="T201" s="39">
        <f t="shared" si="6"/>
        <v>0</v>
      </c>
      <c r="U201" s="38"/>
      <c r="V201" s="38"/>
      <c r="W201" s="38"/>
      <c r="X201" s="117"/>
      <c r="Y201" s="117"/>
      <c r="Z201" s="166"/>
      <c r="AA201" s="268"/>
      <c r="AB201" s="268"/>
      <c r="AC201" s="268"/>
      <c r="AD201" s="268"/>
      <c r="AE201" s="269"/>
    </row>
    <row r="202" spans="1:31" s="48" customFormat="1" ht="37.5">
      <c r="A202" s="220">
        <f>A200+1</f>
        <v>92</v>
      </c>
      <c r="B202" s="209" t="s">
        <v>263</v>
      </c>
      <c r="C202" s="93" t="s">
        <v>66</v>
      </c>
      <c r="D202" s="110" t="s">
        <v>5</v>
      </c>
      <c r="E202" s="110" t="s">
        <v>5</v>
      </c>
      <c r="F202" s="111">
        <f>210/1000</f>
        <v>0.21</v>
      </c>
      <c r="G202" s="165" t="s">
        <v>74</v>
      </c>
      <c r="H202" s="136">
        <f t="shared" si="5"/>
        <v>68.3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>
        <v>68.3</v>
      </c>
      <c r="S202" s="136"/>
      <c r="T202" s="47">
        <f t="shared" si="6"/>
        <v>0</v>
      </c>
      <c r="U202" s="45"/>
      <c r="V202" s="45"/>
      <c r="W202" s="45"/>
      <c r="X202" s="136"/>
      <c r="Y202" s="136"/>
      <c r="Z202" s="158"/>
      <c r="AA202" s="276"/>
      <c r="AB202" s="276"/>
      <c r="AC202" s="276"/>
      <c r="AD202" s="276"/>
      <c r="AE202" s="277"/>
    </row>
    <row r="203" spans="1:31" s="42" customFormat="1" ht="38.25" thickBot="1">
      <c r="A203" s="221"/>
      <c r="B203" s="214"/>
      <c r="C203" s="114" t="s">
        <v>8</v>
      </c>
      <c r="D203" s="115"/>
      <c r="E203" s="115"/>
      <c r="F203" s="116"/>
      <c r="G203" s="114" t="s">
        <v>153</v>
      </c>
      <c r="H203" s="117">
        <f t="shared" si="5"/>
        <v>1365</v>
      </c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>
        <v>1365</v>
      </c>
      <c r="T203" s="39">
        <f t="shared" si="6"/>
        <v>0</v>
      </c>
      <c r="U203" s="38"/>
      <c r="V203" s="38"/>
      <c r="W203" s="38"/>
      <c r="X203" s="117"/>
      <c r="Y203" s="117"/>
      <c r="Z203" s="166"/>
      <c r="AA203" s="268"/>
      <c r="AB203" s="268"/>
      <c r="AC203" s="268"/>
      <c r="AD203" s="268"/>
      <c r="AE203" s="269"/>
    </row>
    <row r="204" spans="1:31" s="48" customFormat="1" ht="37.5">
      <c r="A204" s="220">
        <f>A202+1</f>
        <v>93</v>
      </c>
      <c r="B204" s="209" t="s">
        <v>264</v>
      </c>
      <c r="C204" s="93" t="s">
        <v>66</v>
      </c>
      <c r="D204" s="110" t="s">
        <v>5</v>
      </c>
      <c r="E204" s="110" t="s">
        <v>5</v>
      </c>
      <c r="F204" s="111">
        <f>230/1000</f>
        <v>0.23</v>
      </c>
      <c r="G204" s="165" t="s">
        <v>74</v>
      </c>
      <c r="H204" s="136">
        <f t="shared" si="5"/>
        <v>74.8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>
        <v>74.8</v>
      </c>
      <c r="S204" s="136"/>
      <c r="T204" s="47">
        <f t="shared" si="6"/>
        <v>0</v>
      </c>
      <c r="U204" s="45"/>
      <c r="V204" s="45"/>
      <c r="W204" s="45"/>
      <c r="X204" s="136"/>
      <c r="Y204" s="136"/>
      <c r="Z204" s="158"/>
      <c r="AA204" s="276"/>
      <c r="AB204" s="276"/>
      <c r="AC204" s="276"/>
      <c r="AD204" s="276"/>
      <c r="AE204" s="277"/>
    </row>
    <row r="205" spans="1:31" s="42" customFormat="1" ht="38.25" thickBot="1">
      <c r="A205" s="221"/>
      <c r="B205" s="214"/>
      <c r="C205" s="114" t="s">
        <v>8</v>
      </c>
      <c r="D205" s="115"/>
      <c r="E205" s="115"/>
      <c r="F205" s="116"/>
      <c r="G205" s="114" t="s">
        <v>153</v>
      </c>
      <c r="H205" s="117">
        <f t="shared" si="5"/>
        <v>1495</v>
      </c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>
        <v>1495</v>
      </c>
      <c r="T205" s="39">
        <f t="shared" si="6"/>
        <v>0</v>
      </c>
      <c r="U205" s="38"/>
      <c r="V205" s="38"/>
      <c r="W205" s="38"/>
      <c r="X205" s="117"/>
      <c r="Y205" s="117"/>
      <c r="Z205" s="166"/>
      <c r="AA205" s="268"/>
      <c r="AB205" s="268"/>
      <c r="AC205" s="268"/>
      <c r="AD205" s="268"/>
      <c r="AE205" s="269"/>
    </row>
    <row r="206" spans="1:31" s="48" customFormat="1" ht="37.5">
      <c r="A206" s="220">
        <f>A204+1</f>
        <v>94</v>
      </c>
      <c r="B206" s="209" t="s">
        <v>265</v>
      </c>
      <c r="C206" s="93" t="s">
        <v>66</v>
      </c>
      <c r="D206" s="110" t="s">
        <v>5</v>
      </c>
      <c r="E206" s="110" t="s">
        <v>5</v>
      </c>
      <c r="F206" s="111">
        <f>206/1000</f>
        <v>0.206</v>
      </c>
      <c r="G206" s="165" t="s">
        <v>74</v>
      </c>
      <c r="H206" s="136">
        <f t="shared" si="5"/>
        <v>67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>
        <v>67</v>
      </c>
      <c r="S206" s="136"/>
      <c r="T206" s="47">
        <f t="shared" si="6"/>
        <v>0</v>
      </c>
      <c r="U206" s="45"/>
      <c r="V206" s="45"/>
      <c r="W206" s="45"/>
      <c r="X206" s="136"/>
      <c r="Y206" s="136"/>
      <c r="Z206" s="158"/>
      <c r="AA206" s="276"/>
      <c r="AB206" s="276"/>
      <c r="AC206" s="276"/>
      <c r="AD206" s="276"/>
      <c r="AE206" s="277"/>
    </row>
    <row r="207" spans="1:31" s="42" customFormat="1" ht="38.25" thickBot="1">
      <c r="A207" s="221"/>
      <c r="B207" s="214"/>
      <c r="C207" s="114" t="s">
        <v>8</v>
      </c>
      <c r="D207" s="115"/>
      <c r="E207" s="115"/>
      <c r="F207" s="116"/>
      <c r="G207" s="114" t="s">
        <v>153</v>
      </c>
      <c r="H207" s="117">
        <f t="shared" si="5"/>
        <v>1339</v>
      </c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>
        <v>1339</v>
      </c>
      <c r="T207" s="39">
        <f t="shared" si="6"/>
        <v>0</v>
      </c>
      <c r="U207" s="38"/>
      <c r="V207" s="38"/>
      <c r="W207" s="38"/>
      <c r="X207" s="117"/>
      <c r="Y207" s="117"/>
      <c r="Z207" s="166"/>
      <c r="AA207" s="268"/>
      <c r="AB207" s="268"/>
      <c r="AC207" s="268"/>
      <c r="AD207" s="268"/>
      <c r="AE207" s="269"/>
    </row>
    <row r="208" spans="1:31" s="48" customFormat="1" ht="37.5">
      <c r="A208" s="220">
        <f>A206+1</f>
        <v>95</v>
      </c>
      <c r="B208" s="209" t="s">
        <v>266</v>
      </c>
      <c r="C208" s="93" t="s">
        <v>66</v>
      </c>
      <c r="D208" s="110" t="s">
        <v>5</v>
      </c>
      <c r="E208" s="110" t="s">
        <v>5</v>
      </c>
      <c r="F208" s="111">
        <f>100/1000</f>
        <v>0.1</v>
      </c>
      <c r="G208" s="165" t="s">
        <v>74</v>
      </c>
      <c r="H208" s="136">
        <f t="shared" si="5"/>
        <v>32.5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>
        <v>32.5</v>
      </c>
      <c r="S208" s="136"/>
      <c r="T208" s="47">
        <f t="shared" si="6"/>
        <v>0</v>
      </c>
      <c r="U208" s="45"/>
      <c r="V208" s="45"/>
      <c r="W208" s="45"/>
      <c r="X208" s="136"/>
      <c r="Y208" s="136"/>
      <c r="Z208" s="158"/>
      <c r="AA208" s="276"/>
      <c r="AB208" s="276"/>
      <c r="AC208" s="276"/>
      <c r="AD208" s="276"/>
      <c r="AE208" s="277"/>
    </row>
    <row r="209" spans="1:31" s="42" customFormat="1" ht="38.25" thickBot="1">
      <c r="A209" s="221"/>
      <c r="B209" s="214"/>
      <c r="C209" s="114" t="s">
        <v>8</v>
      </c>
      <c r="D209" s="115"/>
      <c r="E209" s="115"/>
      <c r="F209" s="116"/>
      <c r="G209" s="114" t="s">
        <v>153</v>
      </c>
      <c r="H209" s="117">
        <f t="shared" si="5"/>
        <v>650</v>
      </c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>
        <v>650</v>
      </c>
      <c r="T209" s="39">
        <f t="shared" si="6"/>
        <v>0</v>
      </c>
      <c r="U209" s="38"/>
      <c r="V209" s="38"/>
      <c r="W209" s="38"/>
      <c r="X209" s="117"/>
      <c r="Y209" s="117"/>
      <c r="Z209" s="166"/>
      <c r="AA209" s="268"/>
      <c r="AB209" s="268"/>
      <c r="AC209" s="268"/>
      <c r="AD209" s="268"/>
      <c r="AE209" s="269"/>
    </row>
    <row r="210" spans="1:31" s="48" customFormat="1" ht="37.5">
      <c r="A210" s="220">
        <f>A208+1</f>
        <v>96</v>
      </c>
      <c r="B210" s="209" t="s">
        <v>267</v>
      </c>
      <c r="C210" s="93" t="s">
        <v>66</v>
      </c>
      <c r="D210" s="110" t="s">
        <v>5</v>
      </c>
      <c r="E210" s="110" t="s">
        <v>5</v>
      </c>
      <c r="F210" s="111">
        <f>180/1000</f>
        <v>0.18</v>
      </c>
      <c r="G210" s="165" t="s">
        <v>216</v>
      </c>
      <c r="H210" s="136">
        <f t="shared" si="5"/>
        <v>58.5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>
        <v>58.5</v>
      </c>
      <c r="S210" s="136"/>
      <c r="T210" s="47">
        <f t="shared" si="6"/>
        <v>0</v>
      </c>
      <c r="U210" s="45"/>
      <c r="V210" s="45"/>
      <c r="W210" s="45"/>
      <c r="X210" s="136"/>
      <c r="Y210" s="136"/>
      <c r="Z210" s="158"/>
      <c r="AA210" s="276"/>
      <c r="AB210" s="276"/>
      <c r="AC210" s="276"/>
      <c r="AD210" s="276"/>
      <c r="AE210" s="277"/>
    </row>
    <row r="211" spans="1:31" s="42" customFormat="1" ht="38.25" thickBot="1">
      <c r="A211" s="221"/>
      <c r="B211" s="214"/>
      <c r="C211" s="114" t="s">
        <v>8</v>
      </c>
      <c r="D211" s="115"/>
      <c r="E211" s="115"/>
      <c r="F211" s="116"/>
      <c r="G211" s="114" t="s">
        <v>153</v>
      </c>
      <c r="H211" s="117">
        <f t="shared" si="5"/>
        <v>1170</v>
      </c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>
        <v>1170</v>
      </c>
      <c r="T211" s="39">
        <f t="shared" si="6"/>
        <v>0</v>
      </c>
      <c r="U211" s="38"/>
      <c r="V211" s="38"/>
      <c r="W211" s="38"/>
      <c r="X211" s="117"/>
      <c r="Y211" s="117"/>
      <c r="Z211" s="166"/>
      <c r="AA211" s="268"/>
      <c r="AB211" s="268"/>
      <c r="AC211" s="268"/>
      <c r="AD211" s="268"/>
      <c r="AE211" s="269"/>
    </row>
    <row r="212" spans="1:31" s="48" customFormat="1" ht="38.25" customHeight="1">
      <c r="A212" s="220">
        <f>A210+1</f>
        <v>97</v>
      </c>
      <c r="B212" s="209" t="s">
        <v>268</v>
      </c>
      <c r="C212" s="93" t="s">
        <v>66</v>
      </c>
      <c r="D212" s="110" t="s">
        <v>5</v>
      </c>
      <c r="E212" s="110" t="s">
        <v>5</v>
      </c>
      <c r="F212" s="111">
        <f>810/1000</f>
        <v>0.81</v>
      </c>
      <c r="G212" s="165" t="s">
        <v>74</v>
      </c>
      <c r="H212" s="136">
        <f t="shared" si="5"/>
        <v>263.3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>
        <v>263.3</v>
      </c>
      <c r="S212" s="136"/>
      <c r="T212" s="47">
        <f t="shared" si="6"/>
        <v>0</v>
      </c>
      <c r="U212" s="45"/>
      <c r="V212" s="45"/>
      <c r="W212" s="45"/>
      <c r="X212" s="136"/>
      <c r="Y212" s="136"/>
      <c r="Z212" s="158"/>
      <c r="AA212" s="276"/>
      <c r="AB212" s="276"/>
      <c r="AC212" s="276"/>
      <c r="AD212" s="276"/>
      <c r="AE212" s="277"/>
    </row>
    <row r="213" spans="1:31" s="42" customFormat="1" ht="38.25" thickBot="1">
      <c r="A213" s="221"/>
      <c r="B213" s="214"/>
      <c r="C213" s="114" t="s">
        <v>8</v>
      </c>
      <c r="D213" s="115"/>
      <c r="E213" s="115"/>
      <c r="F213" s="116"/>
      <c r="G213" s="114" t="s">
        <v>153</v>
      </c>
      <c r="H213" s="117">
        <f t="shared" si="5"/>
        <v>5265</v>
      </c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>
        <v>5265</v>
      </c>
      <c r="T213" s="39">
        <f t="shared" si="6"/>
        <v>0</v>
      </c>
      <c r="U213" s="38"/>
      <c r="V213" s="38"/>
      <c r="W213" s="38"/>
      <c r="X213" s="117"/>
      <c r="Y213" s="117"/>
      <c r="Z213" s="166"/>
      <c r="AA213" s="268"/>
      <c r="AB213" s="268"/>
      <c r="AC213" s="268"/>
      <c r="AD213" s="268"/>
      <c r="AE213" s="269"/>
    </row>
    <row r="214" spans="1:31" s="48" customFormat="1" ht="37.5">
      <c r="A214" s="220">
        <f>A212+1</f>
        <v>98</v>
      </c>
      <c r="B214" s="209" t="s">
        <v>269</v>
      </c>
      <c r="C214" s="93" t="s">
        <v>66</v>
      </c>
      <c r="D214" s="110" t="s">
        <v>5</v>
      </c>
      <c r="E214" s="110" t="s">
        <v>5</v>
      </c>
      <c r="F214" s="111">
        <f>340/1000</f>
        <v>0.34</v>
      </c>
      <c r="G214" s="165" t="s">
        <v>74</v>
      </c>
      <c r="H214" s="136">
        <f t="shared" si="5"/>
        <v>110.5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>
        <v>110.5</v>
      </c>
      <c r="S214" s="136"/>
      <c r="T214" s="47">
        <f t="shared" si="6"/>
        <v>0</v>
      </c>
      <c r="U214" s="45"/>
      <c r="V214" s="45"/>
      <c r="W214" s="45"/>
      <c r="X214" s="136"/>
      <c r="Y214" s="136"/>
      <c r="Z214" s="158"/>
      <c r="AA214" s="276"/>
      <c r="AB214" s="276"/>
      <c r="AC214" s="276"/>
      <c r="AD214" s="276"/>
      <c r="AE214" s="277"/>
    </row>
    <row r="215" spans="1:31" s="42" customFormat="1" ht="38.25" thickBot="1">
      <c r="A215" s="221"/>
      <c r="B215" s="214"/>
      <c r="C215" s="114" t="s">
        <v>8</v>
      </c>
      <c r="D215" s="115"/>
      <c r="E215" s="115"/>
      <c r="F215" s="116"/>
      <c r="G215" s="114" t="s">
        <v>153</v>
      </c>
      <c r="H215" s="117">
        <f t="shared" si="5"/>
        <v>2210</v>
      </c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>
        <v>2210</v>
      </c>
      <c r="T215" s="39">
        <f t="shared" si="6"/>
        <v>0</v>
      </c>
      <c r="U215" s="38"/>
      <c r="V215" s="38"/>
      <c r="W215" s="38"/>
      <c r="X215" s="117"/>
      <c r="Y215" s="117"/>
      <c r="Z215" s="166"/>
      <c r="AA215" s="268"/>
      <c r="AB215" s="268"/>
      <c r="AC215" s="268"/>
      <c r="AD215" s="268"/>
      <c r="AE215" s="269"/>
    </row>
    <row r="216" spans="1:31" s="48" customFormat="1" ht="37.5">
      <c r="A216" s="220">
        <f>A214+1</f>
        <v>99</v>
      </c>
      <c r="B216" s="209" t="s">
        <v>270</v>
      </c>
      <c r="C216" s="93" t="s">
        <v>66</v>
      </c>
      <c r="D216" s="110" t="s">
        <v>5</v>
      </c>
      <c r="E216" s="110" t="s">
        <v>5</v>
      </c>
      <c r="F216" s="111">
        <f>670/1000</f>
        <v>0.67</v>
      </c>
      <c r="G216" s="165" t="s">
        <v>74</v>
      </c>
      <c r="H216" s="136">
        <f t="shared" si="5"/>
        <v>217.8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>
        <v>217.8</v>
      </c>
      <c r="S216" s="136"/>
      <c r="T216" s="47">
        <f t="shared" si="6"/>
        <v>0</v>
      </c>
      <c r="U216" s="45"/>
      <c r="V216" s="45"/>
      <c r="W216" s="45"/>
      <c r="X216" s="136"/>
      <c r="Y216" s="136"/>
      <c r="Z216" s="158"/>
      <c r="AA216" s="276"/>
      <c r="AB216" s="276"/>
      <c r="AC216" s="276"/>
      <c r="AD216" s="276"/>
      <c r="AE216" s="277"/>
    </row>
    <row r="217" spans="1:31" s="42" customFormat="1" ht="38.25" thickBot="1">
      <c r="A217" s="221"/>
      <c r="B217" s="214"/>
      <c r="C217" s="114" t="s">
        <v>8</v>
      </c>
      <c r="D217" s="115"/>
      <c r="E217" s="115"/>
      <c r="F217" s="116"/>
      <c r="G217" s="114" t="s">
        <v>153</v>
      </c>
      <c r="H217" s="117">
        <f t="shared" si="5"/>
        <v>4355</v>
      </c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>
        <v>4355</v>
      </c>
      <c r="T217" s="39">
        <f t="shared" si="6"/>
        <v>0</v>
      </c>
      <c r="U217" s="38"/>
      <c r="V217" s="38"/>
      <c r="W217" s="38"/>
      <c r="X217" s="117"/>
      <c r="Y217" s="117"/>
      <c r="Z217" s="166"/>
      <c r="AA217" s="268"/>
      <c r="AB217" s="268"/>
      <c r="AC217" s="268"/>
      <c r="AD217" s="268"/>
      <c r="AE217" s="269"/>
    </row>
    <row r="218" spans="1:31" s="48" customFormat="1" ht="37.5">
      <c r="A218" s="220">
        <f>A216+1</f>
        <v>100</v>
      </c>
      <c r="B218" s="209" t="s">
        <v>271</v>
      </c>
      <c r="C218" s="93" t="s">
        <v>66</v>
      </c>
      <c r="D218" s="110" t="s">
        <v>5</v>
      </c>
      <c r="E218" s="110" t="s">
        <v>5</v>
      </c>
      <c r="F218" s="111">
        <f>320/1000</f>
        <v>0.32</v>
      </c>
      <c r="G218" s="165" t="s">
        <v>218</v>
      </c>
      <c r="H218" s="136">
        <f t="shared" si="5"/>
        <v>104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>
        <v>104</v>
      </c>
      <c r="S218" s="136"/>
      <c r="T218" s="47">
        <f t="shared" si="6"/>
        <v>0</v>
      </c>
      <c r="U218" s="45"/>
      <c r="V218" s="45"/>
      <c r="W218" s="45"/>
      <c r="X218" s="136"/>
      <c r="Y218" s="136"/>
      <c r="Z218" s="158"/>
      <c r="AA218" s="276"/>
      <c r="AB218" s="276"/>
      <c r="AC218" s="276"/>
      <c r="AD218" s="276"/>
      <c r="AE218" s="277"/>
    </row>
    <row r="219" spans="1:31" s="42" customFormat="1" ht="38.25" thickBot="1">
      <c r="A219" s="221"/>
      <c r="B219" s="214"/>
      <c r="C219" s="114" t="s">
        <v>8</v>
      </c>
      <c r="D219" s="115"/>
      <c r="E219" s="115"/>
      <c r="F219" s="116"/>
      <c r="G219" s="114" t="s">
        <v>153</v>
      </c>
      <c r="H219" s="117">
        <f t="shared" si="5"/>
        <v>2080</v>
      </c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>
        <v>2080</v>
      </c>
      <c r="T219" s="39">
        <f t="shared" si="6"/>
        <v>0</v>
      </c>
      <c r="U219" s="38"/>
      <c r="V219" s="38"/>
      <c r="W219" s="38"/>
      <c r="X219" s="117"/>
      <c r="Y219" s="117"/>
      <c r="Z219" s="166"/>
      <c r="AA219" s="268"/>
      <c r="AB219" s="268"/>
      <c r="AC219" s="268"/>
      <c r="AD219" s="268"/>
      <c r="AE219" s="269"/>
    </row>
    <row r="220" spans="1:31" s="48" customFormat="1" ht="37.5">
      <c r="A220" s="220">
        <f>A218+1</f>
        <v>101</v>
      </c>
      <c r="B220" s="209" t="s">
        <v>272</v>
      </c>
      <c r="C220" s="93" t="s">
        <v>66</v>
      </c>
      <c r="D220" s="110" t="s">
        <v>5</v>
      </c>
      <c r="E220" s="110" t="s">
        <v>5</v>
      </c>
      <c r="F220" s="111">
        <f>550/1000</f>
        <v>0.55</v>
      </c>
      <c r="G220" s="165" t="s">
        <v>218</v>
      </c>
      <c r="H220" s="136">
        <f t="shared" si="5"/>
        <v>178.8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>
        <v>178.8</v>
      </c>
      <c r="S220" s="136"/>
      <c r="T220" s="47">
        <f t="shared" si="6"/>
        <v>0</v>
      </c>
      <c r="U220" s="45"/>
      <c r="V220" s="45"/>
      <c r="W220" s="45"/>
      <c r="X220" s="136"/>
      <c r="Y220" s="136"/>
      <c r="Z220" s="158"/>
      <c r="AA220" s="276"/>
      <c r="AB220" s="276"/>
      <c r="AC220" s="276"/>
      <c r="AD220" s="276"/>
      <c r="AE220" s="277"/>
    </row>
    <row r="221" spans="1:31" s="42" customFormat="1" ht="38.25" thickBot="1">
      <c r="A221" s="221"/>
      <c r="B221" s="214"/>
      <c r="C221" s="114" t="s">
        <v>8</v>
      </c>
      <c r="D221" s="115"/>
      <c r="E221" s="115"/>
      <c r="F221" s="116"/>
      <c r="G221" s="114" t="s">
        <v>153</v>
      </c>
      <c r="H221" s="117">
        <f t="shared" si="5"/>
        <v>3575</v>
      </c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>
        <v>3575</v>
      </c>
      <c r="T221" s="39">
        <f t="shared" si="6"/>
        <v>0</v>
      </c>
      <c r="U221" s="38"/>
      <c r="V221" s="38"/>
      <c r="W221" s="38"/>
      <c r="X221" s="117"/>
      <c r="Y221" s="117"/>
      <c r="Z221" s="166"/>
      <c r="AA221" s="268"/>
      <c r="AB221" s="268"/>
      <c r="AC221" s="268"/>
      <c r="AD221" s="268"/>
      <c r="AE221" s="269"/>
    </row>
    <row r="222" spans="1:31" s="48" customFormat="1" ht="37.5">
      <c r="A222" s="220">
        <f>A220+1</f>
        <v>102</v>
      </c>
      <c r="B222" s="209" t="s">
        <v>273</v>
      </c>
      <c r="C222" s="93" t="s">
        <v>66</v>
      </c>
      <c r="D222" s="110" t="s">
        <v>5</v>
      </c>
      <c r="E222" s="110" t="s">
        <v>5</v>
      </c>
      <c r="F222" s="111">
        <f>200/1000</f>
        <v>0.2</v>
      </c>
      <c r="G222" s="165" t="s">
        <v>220</v>
      </c>
      <c r="H222" s="136">
        <f t="shared" si="5"/>
        <v>65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>
        <v>65</v>
      </c>
      <c r="S222" s="136"/>
      <c r="T222" s="47">
        <f t="shared" si="6"/>
        <v>0</v>
      </c>
      <c r="U222" s="45"/>
      <c r="V222" s="45"/>
      <c r="W222" s="45"/>
      <c r="X222" s="136"/>
      <c r="Y222" s="136"/>
      <c r="Z222" s="158"/>
      <c r="AA222" s="276"/>
      <c r="AB222" s="276"/>
      <c r="AC222" s="276"/>
      <c r="AD222" s="276"/>
      <c r="AE222" s="277"/>
    </row>
    <row r="223" spans="1:31" s="42" customFormat="1" ht="38.25" thickBot="1">
      <c r="A223" s="221"/>
      <c r="B223" s="214"/>
      <c r="C223" s="114" t="s">
        <v>8</v>
      </c>
      <c r="D223" s="115"/>
      <c r="E223" s="115"/>
      <c r="F223" s="116"/>
      <c r="G223" s="114" t="s">
        <v>153</v>
      </c>
      <c r="H223" s="117">
        <f t="shared" si="5"/>
        <v>1300</v>
      </c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>
        <v>1300</v>
      </c>
      <c r="T223" s="39">
        <f t="shared" si="6"/>
        <v>0</v>
      </c>
      <c r="U223" s="38"/>
      <c r="V223" s="38"/>
      <c r="W223" s="38"/>
      <c r="X223" s="117"/>
      <c r="Y223" s="117"/>
      <c r="Z223" s="166"/>
      <c r="AA223" s="268"/>
      <c r="AB223" s="268"/>
      <c r="AC223" s="268"/>
      <c r="AD223" s="268"/>
      <c r="AE223" s="269"/>
    </row>
    <row r="224" spans="1:31" s="48" customFormat="1" ht="37.5">
      <c r="A224" s="220">
        <f>A222+1</f>
        <v>103</v>
      </c>
      <c r="B224" s="209" t="s">
        <v>274</v>
      </c>
      <c r="C224" s="93" t="s">
        <v>66</v>
      </c>
      <c r="D224" s="110" t="s">
        <v>5</v>
      </c>
      <c r="E224" s="110" t="s">
        <v>5</v>
      </c>
      <c r="F224" s="111">
        <f>220/1000</f>
        <v>0.22</v>
      </c>
      <c r="G224" s="165" t="s">
        <v>74</v>
      </c>
      <c r="H224" s="136">
        <f t="shared" si="5"/>
        <v>71.5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>
        <v>71.5</v>
      </c>
      <c r="S224" s="223"/>
      <c r="T224" s="47">
        <f t="shared" si="6"/>
        <v>0</v>
      </c>
      <c r="U224" s="45"/>
      <c r="V224" s="45"/>
      <c r="W224" s="45"/>
      <c r="X224" s="136"/>
      <c r="Y224" s="136"/>
      <c r="Z224" s="158"/>
      <c r="AA224" s="276"/>
      <c r="AB224" s="276"/>
      <c r="AC224" s="276"/>
      <c r="AD224" s="276"/>
      <c r="AE224" s="277"/>
    </row>
    <row r="225" spans="1:31" s="42" customFormat="1" ht="38.25" thickBot="1">
      <c r="A225" s="221"/>
      <c r="B225" s="214"/>
      <c r="C225" s="114" t="s">
        <v>8</v>
      </c>
      <c r="D225" s="115"/>
      <c r="E225" s="115"/>
      <c r="F225" s="116"/>
      <c r="G225" s="114" t="s">
        <v>153</v>
      </c>
      <c r="H225" s="117">
        <f t="shared" si="5"/>
        <v>1430</v>
      </c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201">
        <v>1430</v>
      </c>
      <c r="T225" s="39">
        <f t="shared" si="6"/>
        <v>0</v>
      </c>
      <c r="U225" s="38"/>
      <c r="V225" s="38"/>
      <c r="W225" s="38"/>
      <c r="X225" s="117"/>
      <c r="Y225" s="117"/>
      <c r="Z225" s="166"/>
      <c r="AA225" s="268"/>
      <c r="AB225" s="268"/>
      <c r="AC225" s="268"/>
      <c r="AD225" s="268"/>
      <c r="AE225" s="269"/>
    </row>
    <row r="226" spans="1:31" s="48" customFormat="1" ht="37.5">
      <c r="A226" s="220">
        <f>A224+1</f>
        <v>104</v>
      </c>
      <c r="B226" s="209" t="s">
        <v>275</v>
      </c>
      <c r="C226" s="93" t="s">
        <v>66</v>
      </c>
      <c r="D226" s="110" t="s">
        <v>5</v>
      </c>
      <c r="E226" s="110" t="s">
        <v>5</v>
      </c>
      <c r="F226" s="111">
        <f>400/1000</f>
        <v>0.4</v>
      </c>
      <c r="G226" s="165" t="s">
        <v>74</v>
      </c>
      <c r="H226" s="136">
        <f t="shared" si="5"/>
        <v>130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>
        <v>130</v>
      </c>
      <c r="S226" s="136"/>
      <c r="T226" s="47">
        <f t="shared" si="6"/>
        <v>0</v>
      </c>
      <c r="U226" s="45"/>
      <c r="V226" s="45"/>
      <c r="W226" s="45"/>
      <c r="X226" s="136"/>
      <c r="Y226" s="136"/>
      <c r="Z226" s="158"/>
      <c r="AA226" s="276"/>
      <c r="AB226" s="276"/>
      <c r="AC226" s="276"/>
      <c r="AD226" s="276"/>
      <c r="AE226" s="277"/>
    </row>
    <row r="227" spans="1:31" s="42" customFormat="1" ht="38.25" thickBot="1">
      <c r="A227" s="221"/>
      <c r="B227" s="214"/>
      <c r="C227" s="114" t="s">
        <v>8</v>
      </c>
      <c r="D227" s="115"/>
      <c r="E227" s="115"/>
      <c r="F227" s="116"/>
      <c r="G227" s="114" t="s">
        <v>153</v>
      </c>
      <c r="H227" s="117">
        <f t="shared" si="5"/>
        <v>2600</v>
      </c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>
        <v>2600</v>
      </c>
      <c r="T227" s="39">
        <f t="shared" si="6"/>
        <v>0</v>
      </c>
      <c r="U227" s="38"/>
      <c r="V227" s="38"/>
      <c r="W227" s="38"/>
      <c r="X227" s="117"/>
      <c r="Y227" s="117"/>
      <c r="Z227" s="166"/>
      <c r="AA227" s="268"/>
      <c r="AB227" s="268"/>
      <c r="AC227" s="268"/>
      <c r="AD227" s="268"/>
      <c r="AE227" s="269"/>
    </row>
    <row r="228" spans="1:31" s="48" customFormat="1" ht="37.5">
      <c r="A228" s="220">
        <f>A226+1</f>
        <v>105</v>
      </c>
      <c r="B228" s="209" t="s">
        <v>276</v>
      </c>
      <c r="C228" s="93" t="s">
        <v>66</v>
      </c>
      <c r="D228" s="110" t="s">
        <v>5</v>
      </c>
      <c r="E228" s="110" t="s">
        <v>5</v>
      </c>
      <c r="F228" s="111">
        <f>350/1000</f>
        <v>0.35</v>
      </c>
      <c r="G228" s="165" t="s">
        <v>219</v>
      </c>
      <c r="H228" s="136">
        <f t="shared" si="5"/>
        <v>113.8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>
        <v>113.8</v>
      </c>
      <c r="S228" s="136"/>
      <c r="T228" s="47">
        <f t="shared" si="6"/>
        <v>0</v>
      </c>
      <c r="U228" s="45"/>
      <c r="V228" s="45"/>
      <c r="W228" s="45"/>
      <c r="X228" s="136"/>
      <c r="Y228" s="136"/>
      <c r="Z228" s="158"/>
      <c r="AA228" s="276"/>
      <c r="AB228" s="276"/>
      <c r="AC228" s="276"/>
      <c r="AD228" s="276"/>
      <c r="AE228" s="277"/>
    </row>
    <row r="229" spans="1:31" s="42" customFormat="1" ht="38.25" thickBot="1">
      <c r="A229" s="221"/>
      <c r="B229" s="214"/>
      <c r="C229" s="114" t="s">
        <v>8</v>
      </c>
      <c r="D229" s="115"/>
      <c r="E229" s="115"/>
      <c r="F229" s="116"/>
      <c r="G229" s="114" t="s">
        <v>153</v>
      </c>
      <c r="H229" s="117">
        <f t="shared" si="5"/>
        <v>2275</v>
      </c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>
        <v>2275</v>
      </c>
      <c r="T229" s="39">
        <f t="shared" si="6"/>
        <v>0</v>
      </c>
      <c r="U229" s="38"/>
      <c r="V229" s="38"/>
      <c r="W229" s="38"/>
      <c r="X229" s="117"/>
      <c r="Y229" s="117"/>
      <c r="Z229" s="166"/>
      <c r="AA229" s="268"/>
      <c r="AB229" s="268"/>
      <c r="AC229" s="268"/>
      <c r="AD229" s="268"/>
      <c r="AE229" s="269"/>
    </row>
    <row r="230" spans="1:31" s="48" customFormat="1" ht="37.5">
      <c r="A230" s="220">
        <f>A228+1</f>
        <v>106</v>
      </c>
      <c r="B230" s="209" t="s">
        <v>277</v>
      </c>
      <c r="C230" s="93" t="s">
        <v>66</v>
      </c>
      <c r="D230" s="110" t="s">
        <v>5</v>
      </c>
      <c r="E230" s="110" t="s">
        <v>5</v>
      </c>
      <c r="F230" s="111">
        <f>850/1000</f>
        <v>0.85</v>
      </c>
      <c r="G230" s="165" t="s">
        <v>74</v>
      </c>
      <c r="H230" s="136">
        <f t="shared" si="5"/>
        <v>1592.7</v>
      </c>
      <c r="I230" s="136"/>
      <c r="J230" s="136"/>
      <c r="K230" s="136"/>
      <c r="L230" s="136"/>
      <c r="M230" s="136"/>
      <c r="N230" s="136"/>
      <c r="O230" s="136"/>
      <c r="P230" s="136"/>
      <c r="Q230" s="136"/>
      <c r="R230" s="136">
        <v>1592.7</v>
      </c>
      <c r="S230" s="136"/>
      <c r="T230" s="47">
        <f aca="true" t="shared" si="7" ref="T230:T285">SUM(U230:AE230)</f>
        <v>0</v>
      </c>
      <c r="U230" s="45"/>
      <c r="V230" s="45"/>
      <c r="W230" s="45"/>
      <c r="X230" s="136"/>
      <c r="Y230" s="136"/>
      <c r="Z230" s="158"/>
      <c r="AA230" s="276"/>
      <c r="AB230" s="276"/>
      <c r="AC230" s="276"/>
      <c r="AD230" s="276"/>
      <c r="AE230" s="277"/>
    </row>
    <row r="231" spans="1:31" s="42" customFormat="1" ht="38.25" thickBot="1">
      <c r="A231" s="221"/>
      <c r="B231" s="214"/>
      <c r="C231" s="114" t="s">
        <v>8</v>
      </c>
      <c r="D231" s="115"/>
      <c r="E231" s="115"/>
      <c r="F231" s="116"/>
      <c r="G231" s="114" t="s">
        <v>153</v>
      </c>
      <c r="H231" s="117">
        <f t="shared" si="5"/>
        <v>8000</v>
      </c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>
        <v>8000</v>
      </c>
      <c r="T231" s="39">
        <f t="shared" si="7"/>
        <v>0</v>
      </c>
      <c r="U231" s="38"/>
      <c r="V231" s="38"/>
      <c r="W231" s="38"/>
      <c r="X231" s="117"/>
      <c r="Y231" s="117"/>
      <c r="Z231" s="166"/>
      <c r="AA231" s="268"/>
      <c r="AB231" s="268"/>
      <c r="AC231" s="268"/>
      <c r="AD231" s="268"/>
      <c r="AE231" s="269"/>
    </row>
    <row r="232" spans="1:31" s="48" customFormat="1" ht="18.75">
      <c r="A232" s="220">
        <f>A230+1</f>
        <v>107</v>
      </c>
      <c r="B232" s="209" t="s">
        <v>155</v>
      </c>
      <c r="C232" s="165" t="s">
        <v>197</v>
      </c>
      <c r="D232" s="131"/>
      <c r="E232" s="131"/>
      <c r="F232" s="111" t="s">
        <v>17</v>
      </c>
      <c r="G232" s="165" t="s">
        <v>74</v>
      </c>
      <c r="H232" s="136">
        <f t="shared" si="5"/>
        <v>14000</v>
      </c>
      <c r="I232" s="136"/>
      <c r="J232" s="136"/>
      <c r="K232" s="136"/>
      <c r="L232" s="136"/>
      <c r="M232" s="136"/>
      <c r="N232" s="136"/>
      <c r="O232" s="136"/>
      <c r="P232" s="136"/>
      <c r="Q232" s="136"/>
      <c r="R232" s="136">
        <v>14000</v>
      </c>
      <c r="S232" s="223"/>
      <c r="T232" s="47">
        <f t="shared" si="7"/>
        <v>0</v>
      </c>
      <c r="U232" s="45"/>
      <c r="V232" s="45"/>
      <c r="W232" s="45"/>
      <c r="X232" s="136"/>
      <c r="Y232" s="136"/>
      <c r="Z232" s="158"/>
      <c r="AA232" s="276"/>
      <c r="AB232" s="276"/>
      <c r="AC232" s="276"/>
      <c r="AD232" s="276"/>
      <c r="AE232" s="277"/>
    </row>
    <row r="233" spans="1:31" s="42" customFormat="1" ht="57" thickBot="1">
      <c r="A233" s="221"/>
      <c r="B233" s="214"/>
      <c r="C233" s="114" t="s">
        <v>8</v>
      </c>
      <c r="D233" s="122" t="s">
        <v>5</v>
      </c>
      <c r="E233" s="122" t="s">
        <v>5</v>
      </c>
      <c r="F233" s="116"/>
      <c r="G233" s="114" t="s">
        <v>153</v>
      </c>
      <c r="H233" s="117">
        <f t="shared" si="5"/>
        <v>116800</v>
      </c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201">
        <v>116800</v>
      </c>
      <c r="T233" s="39">
        <f t="shared" si="7"/>
        <v>0</v>
      </c>
      <c r="U233" s="38"/>
      <c r="V233" s="38"/>
      <c r="W233" s="38"/>
      <c r="X233" s="117"/>
      <c r="Y233" s="117"/>
      <c r="Z233" s="166"/>
      <c r="AA233" s="268"/>
      <c r="AB233" s="268"/>
      <c r="AC233" s="268"/>
      <c r="AD233" s="268"/>
      <c r="AE233" s="269"/>
    </row>
    <row r="234" spans="1:31" s="42" customFormat="1" ht="57" thickBot="1">
      <c r="A234" s="218">
        <v>108</v>
      </c>
      <c r="B234" s="217" t="s">
        <v>198</v>
      </c>
      <c r="C234" s="93" t="s">
        <v>66</v>
      </c>
      <c r="D234" s="122" t="s">
        <v>5</v>
      </c>
      <c r="E234" s="122" t="s">
        <v>5</v>
      </c>
      <c r="F234" s="169"/>
      <c r="G234" s="114" t="s">
        <v>74</v>
      </c>
      <c r="H234" s="117">
        <f t="shared" si="5"/>
        <v>6000</v>
      </c>
      <c r="I234" s="117"/>
      <c r="J234" s="117"/>
      <c r="K234" s="117"/>
      <c r="L234" s="117"/>
      <c r="M234" s="117"/>
      <c r="N234" s="117"/>
      <c r="O234" s="117"/>
      <c r="P234" s="117"/>
      <c r="Q234" s="117"/>
      <c r="R234" s="117">
        <v>4000</v>
      </c>
      <c r="S234" s="117">
        <v>2000</v>
      </c>
      <c r="T234" s="39">
        <f t="shared" si="7"/>
        <v>0</v>
      </c>
      <c r="U234" s="38"/>
      <c r="V234" s="38"/>
      <c r="W234" s="38"/>
      <c r="X234" s="117"/>
      <c r="Y234" s="117"/>
      <c r="Z234" s="166"/>
      <c r="AA234" s="268"/>
      <c r="AB234" s="268"/>
      <c r="AC234" s="268"/>
      <c r="AD234" s="268"/>
      <c r="AE234" s="269"/>
    </row>
    <row r="235" spans="1:31" s="48" customFormat="1" ht="37.5">
      <c r="A235" s="220">
        <v>109</v>
      </c>
      <c r="B235" s="209" t="s">
        <v>156</v>
      </c>
      <c r="C235" s="93" t="s">
        <v>66</v>
      </c>
      <c r="D235" s="110" t="s">
        <v>5</v>
      </c>
      <c r="E235" s="110" t="s">
        <v>5</v>
      </c>
      <c r="F235" s="111" t="s">
        <v>157</v>
      </c>
      <c r="G235" s="165" t="s">
        <v>74</v>
      </c>
      <c r="H235" s="136">
        <f t="shared" si="5"/>
        <v>1000</v>
      </c>
      <c r="I235" s="136"/>
      <c r="J235" s="136"/>
      <c r="K235" s="136"/>
      <c r="L235" s="136"/>
      <c r="M235" s="136"/>
      <c r="N235" s="136"/>
      <c r="O235" s="136"/>
      <c r="P235" s="136"/>
      <c r="Q235" s="136"/>
      <c r="R235" s="136">
        <v>1000</v>
      </c>
      <c r="S235" s="136"/>
      <c r="T235" s="47">
        <f t="shared" si="7"/>
        <v>0</v>
      </c>
      <c r="U235" s="45"/>
      <c r="V235" s="45"/>
      <c r="W235" s="45"/>
      <c r="X235" s="136"/>
      <c r="Y235" s="136"/>
      <c r="Z235" s="158"/>
      <c r="AA235" s="276"/>
      <c r="AB235" s="276"/>
      <c r="AC235" s="276"/>
      <c r="AD235" s="276"/>
      <c r="AE235" s="277"/>
    </row>
    <row r="236" spans="1:31" s="42" customFormat="1" ht="38.25" thickBot="1">
      <c r="A236" s="221"/>
      <c r="B236" s="214"/>
      <c r="C236" s="114" t="s">
        <v>8</v>
      </c>
      <c r="D236" s="115"/>
      <c r="E236" s="115"/>
      <c r="F236" s="116"/>
      <c r="G236" s="114" t="s">
        <v>153</v>
      </c>
      <c r="H236" s="117">
        <f t="shared" si="5"/>
        <v>5400</v>
      </c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>
        <v>5400</v>
      </c>
      <c r="T236" s="39">
        <f t="shared" si="7"/>
        <v>0</v>
      </c>
      <c r="U236" s="38"/>
      <c r="V236" s="38"/>
      <c r="W236" s="38"/>
      <c r="X236" s="117"/>
      <c r="Y236" s="117"/>
      <c r="Z236" s="166"/>
      <c r="AA236" s="268"/>
      <c r="AB236" s="268"/>
      <c r="AC236" s="268"/>
      <c r="AD236" s="268"/>
      <c r="AE236" s="269"/>
    </row>
    <row r="237" spans="1:31" s="48" customFormat="1" ht="37.5">
      <c r="A237" s="220">
        <v>110</v>
      </c>
      <c r="B237" s="209" t="s">
        <v>158</v>
      </c>
      <c r="C237" s="93" t="s">
        <v>66</v>
      </c>
      <c r="D237" s="110" t="s">
        <v>5</v>
      </c>
      <c r="E237" s="110" t="s">
        <v>5</v>
      </c>
      <c r="F237" s="111">
        <f>1000/1000</f>
        <v>1</v>
      </c>
      <c r="G237" s="165" t="s">
        <v>74</v>
      </c>
      <c r="H237" s="136">
        <f t="shared" si="5"/>
        <v>1500</v>
      </c>
      <c r="I237" s="136"/>
      <c r="J237" s="136"/>
      <c r="K237" s="136"/>
      <c r="L237" s="136"/>
      <c r="M237" s="136"/>
      <c r="N237" s="136"/>
      <c r="O237" s="136"/>
      <c r="P237" s="136"/>
      <c r="Q237" s="136"/>
      <c r="R237" s="136">
        <v>1500</v>
      </c>
      <c r="S237" s="136"/>
      <c r="T237" s="47">
        <f t="shared" si="7"/>
        <v>0</v>
      </c>
      <c r="U237" s="45"/>
      <c r="V237" s="45"/>
      <c r="W237" s="45"/>
      <c r="X237" s="136"/>
      <c r="Y237" s="136"/>
      <c r="Z237" s="158"/>
      <c r="AA237" s="276"/>
      <c r="AB237" s="276"/>
      <c r="AC237" s="276"/>
      <c r="AD237" s="276"/>
      <c r="AE237" s="277"/>
    </row>
    <row r="238" spans="1:31" s="42" customFormat="1" ht="70.5" customHeight="1" thickBot="1">
      <c r="A238" s="221"/>
      <c r="B238" s="214"/>
      <c r="C238" s="114" t="s">
        <v>8</v>
      </c>
      <c r="D238" s="115"/>
      <c r="E238" s="115"/>
      <c r="F238" s="116"/>
      <c r="G238" s="114" t="s">
        <v>153</v>
      </c>
      <c r="H238" s="117">
        <f t="shared" si="5"/>
        <v>14000</v>
      </c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>
        <v>14000</v>
      </c>
      <c r="T238" s="39">
        <f t="shared" si="7"/>
        <v>0</v>
      </c>
      <c r="U238" s="38"/>
      <c r="V238" s="38"/>
      <c r="W238" s="38"/>
      <c r="X238" s="117"/>
      <c r="Y238" s="117"/>
      <c r="Z238" s="166"/>
      <c r="AA238" s="268"/>
      <c r="AB238" s="268"/>
      <c r="AC238" s="268"/>
      <c r="AD238" s="268"/>
      <c r="AE238" s="269"/>
    </row>
    <row r="239" spans="1:31" s="48" customFormat="1" ht="37.5">
      <c r="A239" s="220">
        <f>A237+1</f>
        <v>111</v>
      </c>
      <c r="B239" s="209" t="s">
        <v>159</v>
      </c>
      <c r="C239" s="93" t="s">
        <v>66</v>
      </c>
      <c r="D239" s="110" t="s">
        <v>5</v>
      </c>
      <c r="E239" s="110" t="s">
        <v>5</v>
      </c>
      <c r="F239" s="111">
        <f>800/1000</f>
        <v>0.8</v>
      </c>
      <c r="G239" s="165" t="s">
        <v>74</v>
      </c>
      <c r="H239" s="136">
        <f t="shared" si="5"/>
        <v>3328.5</v>
      </c>
      <c r="I239" s="136"/>
      <c r="J239" s="136"/>
      <c r="K239" s="136"/>
      <c r="L239" s="136"/>
      <c r="M239" s="136"/>
      <c r="N239" s="136"/>
      <c r="O239" s="136"/>
      <c r="P239" s="136">
        <v>3328.5</v>
      </c>
      <c r="Q239" s="136"/>
      <c r="R239" s="136"/>
      <c r="S239" s="223"/>
      <c r="T239" s="47">
        <f t="shared" si="7"/>
        <v>0</v>
      </c>
      <c r="U239" s="45"/>
      <c r="V239" s="45"/>
      <c r="W239" s="45"/>
      <c r="X239" s="136"/>
      <c r="Y239" s="136"/>
      <c r="Z239" s="158"/>
      <c r="AA239" s="276"/>
      <c r="AB239" s="276"/>
      <c r="AC239" s="276"/>
      <c r="AD239" s="276"/>
      <c r="AE239" s="277"/>
    </row>
    <row r="240" spans="1:31" s="42" customFormat="1" ht="38.25" thickBot="1">
      <c r="A240" s="221"/>
      <c r="B240" s="214"/>
      <c r="C240" s="114" t="s">
        <v>8</v>
      </c>
      <c r="D240" s="115"/>
      <c r="E240" s="115"/>
      <c r="F240" s="116"/>
      <c r="G240" s="114" t="s">
        <v>73</v>
      </c>
      <c r="H240" s="117">
        <f t="shared" si="5"/>
        <v>0</v>
      </c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201"/>
      <c r="T240" s="39">
        <f t="shared" si="7"/>
        <v>0</v>
      </c>
      <c r="U240" s="38"/>
      <c r="V240" s="38"/>
      <c r="W240" s="38"/>
      <c r="X240" s="117"/>
      <c r="Y240" s="117"/>
      <c r="Z240" s="166"/>
      <c r="AA240" s="268"/>
      <c r="AB240" s="268"/>
      <c r="AC240" s="268"/>
      <c r="AD240" s="268"/>
      <c r="AE240" s="269"/>
    </row>
    <row r="241" spans="1:31" s="48" customFormat="1" ht="37.5">
      <c r="A241" s="220">
        <v>112</v>
      </c>
      <c r="B241" s="209" t="s">
        <v>160</v>
      </c>
      <c r="C241" s="93" t="s">
        <v>66</v>
      </c>
      <c r="D241" s="110" t="s">
        <v>5</v>
      </c>
      <c r="E241" s="110" t="s">
        <v>5</v>
      </c>
      <c r="F241" s="111">
        <f>1160/1000</f>
        <v>1.16</v>
      </c>
      <c r="G241" s="165" t="s">
        <v>216</v>
      </c>
      <c r="H241" s="136">
        <f t="shared" si="5"/>
        <v>400</v>
      </c>
      <c r="I241" s="136"/>
      <c r="J241" s="136"/>
      <c r="K241" s="136"/>
      <c r="L241" s="136"/>
      <c r="M241" s="136"/>
      <c r="N241" s="136"/>
      <c r="O241" s="136"/>
      <c r="P241" s="136"/>
      <c r="Q241" s="136"/>
      <c r="R241" s="136">
        <v>400</v>
      </c>
      <c r="S241" s="136"/>
      <c r="T241" s="47">
        <f t="shared" si="7"/>
        <v>0</v>
      </c>
      <c r="U241" s="45"/>
      <c r="V241" s="45"/>
      <c r="W241" s="45"/>
      <c r="X241" s="136"/>
      <c r="Y241" s="136"/>
      <c r="Z241" s="158"/>
      <c r="AA241" s="276"/>
      <c r="AB241" s="276"/>
      <c r="AC241" s="276"/>
      <c r="AD241" s="276"/>
      <c r="AE241" s="277"/>
    </row>
    <row r="242" spans="1:31" s="42" customFormat="1" ht="38.25" thickBot="1">
      <c r="A242" s="221"/>
      <c r="B242" s="214"/>
      <c r="C242" s="114" t="s">
        <v>8</v>
      </c>
      <c r="D242" s="115"/>
      <c r="E242" s="115"/>
      <c r="F242" s="116"/>
      <c r="G242" s="114" t="s">
        <v>153</v>
      </c>
      <c r="H242" s="117">
        <f t="shared" si="5"/>
        <v>3600</v>
      </c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>
        <v>3600</v>
      </c>
      <c r="T242" s="39">
        <f t="shared" si="7"/>
        <v>0</v>
      </c>
      <c r="U242" s="38"/>
      <c r="V242" s="38"/>
      <c r="W242" s="38"/>
      <c r="X242" s="117"/>
      <c r="Y242" s="117"/>
      <c r="Z242" s="166"/>
      <c r="AA242" s="268"/>
      <c r="AB242" s="268"/>
      <c r="AC242" s="268"/>
      <c r="AD242" s="268"/>
      <c r="AE242" s="269"/>
    </row>
    <row r="243" spans="1:31" s="48" customFormat="1" ht="37.5">
      <c r="A243" s="220">
        <f>A241+1</f>
        <v>113</v>
      </c>
      <c r="B243" s="209" t="s">
        <v>161</v>
      </c>
      <c r="C243" s="93" t="s">
        <v>66</v>
      </c>
      <c r="D243" s="110" t="s">
        <v>5</v>
      </c>
      <c r="E243" s="110" t="s">
        <v>5</v>
      </c>
      <c r="F243" s="111">
        <f>1000/1000</f>
        <v>1</v>
      </c>
      <c r="G243" s="165" t="s">
        <v>218</v>
      </c>
      <c r="H243" s="136">
        <f t="shared" si="5"/>
        <v>6000</v>
      </c>
      <c r="I243" s="136"/>
      <c r="J243" s="136"/>
      <c r="K243" s="136"/>
      <c r="L243" s="136"/>
      <c r="M243" s="136"/>
      <c r="N243" s="136"/>
      <c r="O243" s="136"/>
      <c r="P243" s="136"/>
      <c r="Q243" s="136"/>
      <c r="R243" s="136">
        <v>6000</v>
      </c>
      <c r="S243" s="136"/>
      <c r="T243" s="47">
        <f t="shared" si="7"/>
        <v>0</v>
      </c>
      <c r="U243" s="45"/>
      <c r="V243" s="45"/>
      <c r="W243" s="45"/>
      <c r="X243" s="136"/>
      <c r="Y243" s="136"/>
      <c r="Z243" s="158"/>
      <c r="AA243" s="276"/>
      <c r="AB243" s="276"/>
      <c r="AC243" s="276"/>
      <c r="AD243" s="276"/>
      <c r="AE243" s="277"/>
    </row>
    <row r="244" spans="1:31" s="42" customFormat="1" ht="38.25" thickBot="1">
      <c r="A244" s="221"/>
      <c r="B244" s="214"/>
      <c r="C244" s="114" t="s">
        <v>8</v>
      </c>
      <c r="D244" s="115"/>
      <c r="E244" s="115"/>
      <c r="F244" s="116"/>
      <c r="G244" s="114" t="s">
        <v>153</v>
      </c>
      <c r="H244" s="117">
        <f t="shared" si="5"/>
        <v>54000</v>
      </c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>
        <v>54000</v>
      </c>
      <c r="T244" s="39">
        <f t="shared" si="7"/>
        <v>0</v>
      </c>
      <c r="U244" s="38"/>
      <c r="V244" s="38"/>
      <c r="W244" s="38"/>
      <c r="X244" s="117"/>
      <c r="Y244" s="117"/>
      <c r="Z244" s="166"/>
      <c r="AA244" s="268"/>
      <c r="AB244" s="268"/>
      <c r="AC244" s="268"/>
      <c r="AD244" s="268"/>
      <c r="AE244" s="269"/>
    </row>
    <row r="245" spans="1:31" s="48" customFormat="1" ht="37.5">
      <c r="A245" s="220">
        <f>A243+1</f>
        <v>114</v>
      </c>
      <c r="B245" s="209" t="s">
        <v>162</v>
      </c>
      <c r="C245" s="93" t="s">
        <v>66</v>
      </c>
      <c r="D245" s="110" t="s">
        <v>5</v>
      </c>
      <c r="E245" s="110" t="s">
        <v>5</v>
      </c>
      <c r="F245" s="111">
        <f>4000/1000</f>
        <v>4</v>
      </c>
      <c r="G245" s="165" t="s">
        <v>74</v>
      </c>
      <c r="H245" s="136">
        <f t="shared" si="5"/>
        <v>6000</v>
      </c>
      <c r="I245" s="136"/>
      <c r="J245" s="136"/>
      <c r="K245" s="136"/>
      <c r="L245" s="136"/>
      <c r="M245" s="136"/>
      <c r="N245" s="136"/>
      <c r="O245" s="136"/>
      <c r="P245" s="136"/>
      <c r="Q245" s="136"/>
      <c r="R245" s="136">
        <v>6000</v>
      </c>
      <c r="S245" s="136"/>
      <c r="T245" s="47">
        <f t="shared" si="7"/>
        <v>0</v>
      </c>
      <c r="U245" s="45"/>
      <c r="V245" s="45"/>
      <c r="W245" s="45"/>
      <c r="X245" s="136"/>
      <c r="Y245" s="136"/>
      <c r="Z245" s="158"/>
      <c r="AA245" s="276"/>
      <c r="AB245" s="276"/>
      <c r="AC245" s="276"/>
      <c r="AD245" s="276"/>
      <c r="AE245" s="277"/>
    </row>
    <row r="246" spans="1:31" s="42" customFormat="1" ht="38.25" thickBot="1">
      <c r="A246" s="221"/>
      <c r="B246" s="214"/>
      <c r="C246" s="114" t="s">
        <v>8</v>
      </c>
      <c r="D246" s="115"/>
      <c r="E246" s="115"/>
      <c r="F246" s="116"/>
      <c r="G246" s="114" t="s">
        <v>153</v>
      </c>
      <c r="H246" s="117">
        <f t="shared" si="5"/>
        <v>49000</v>
      </c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>
        <v>49000</v>
      </c>
      <c r="T246" s="39">
        <f t="shared" si="7"/>
        <v>0</v>
      </c>
      <c r="U246" s="38"/>
      <c r="V246" s="38"/>
      <c r="W246" s="38"/>
      <c r="X246" s="117"/>
      <c r="Y246" s="117"/>
      <c r="Z246" s="166"/>
      <c r="AA246" s="268"/>
      <c r="AB246" s="268"/>
      <c r="AC246" s="268"/>
      <c r="AD246" s="268"/>
      <c r="AE246" s="269"/>
    </row>
    <row r="247" spans="1:31" s="48" customFormat="1" ht="37.5">
      <c r="A247" s="220">
        <f>A245+1</f>
        <v>115</v>
      </c>
      <c r="B247" s="209" t="s">
        <v>163</v>
      </c>
      <c r="C247" s="93" t="s">
        <v>66</v>
      </c>
      <c r="D247" s="110" t="s">
        <v>5</v>
      </c>
      <c r="E247" s="110" t="s">
        <v>5</v>
      </c>
      <c r="F247" s="111">
        <f>3300/1000</f>
        <v>3.3</v>
      </c>
      <c r="G247" s="165" t="s">
        <v>74</v>
      </c>
      <c r="H247" s="136">
        <f t="shared" si="5"/>
        <v>7819.3</v>
      </c>
      <c r="I247" s="136"/>
      <c r="J247" s="136"/>
      <c r="K247" s="136"/>
      <c r="L247" s="136"/>
      <c r="M247" s="136"/>
      <c r="N247" s="136"/>
      <c r="O247" s="136"/>
      <c r="P247" s="136"/>
      <c r="Q247" s="136"/>
      <c r="R247" s="136">
        <v>7819.3</v>
      </c>
      <c r="S247" s="136"/>
      <c r="T247" s="47">
        <f t="shared" si="7"/>
        <v>0</v>
      </c>
      <c r="U247" s="45"/>
      <c r="V247" s="45"/>
      <c r="W247" s="45"/>
      <c r="X247" s="136"/>
      <c r="Y247" s="136"/>
      <c r="Z247" s="158"/>
      <c r="AA247" s="276"/>
      <c r="AB247" s="276"/>
      <c r="AC247" s="276"/>
      <c r="AD247" s="276"/>
      <c r="AE247" s="277"/>
    </row>
    <row r="248" spans="1:31" s="42" customFormat="1" ht="38.25" thickBot="1">
      <c r="A248" s="221"/>
      <c r="B248" s="214"/>
      <c r="C248" s="114" t="s">
        <v>8</v>
      </c>
      <c r="D248" s="115"/>
      <c r="E248" s="115"/>
      <c r="F248" s="116"/>
      <c r="G248" s="114" t="s">
        <v>153</v>
      </c>
      <c r="H248" s="117">
        <f t="shared" si="5"/>
        <v>80000</v>
      </c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>
        <v>80000</v>
      </c>
      <c r="T248" s="39">
        <f t="shared" si="7"/>
        <v>0</v>
      </c>
      <c r="U248" s="38"/>
      <c r="V248" s="38"/>
      <c r="W248" s="38"/>
      <c r="X248" s="117"/>
      <c r="Y248" s="117"/>
      <c r="Z248" s="166"/>
      <c r="AA248" s="268"/>
      <c r="AB248" s="268"/>
      <c r="AC248" s="268"/>
      <c r="AD248" s="268"/>
      <c r="AE248" s="269"/>
    </row>
    <row r="249" spans="1:31" s="48" customFormat="1" ht="37.5">
      <c r="A249" s="220">
        <f>A247+1</f>
        <v>116</v>
      </c>
      <c r="B249" s="209" t="s">
        <v>164</v>
      </c>
      <c r="C249" s="93" t="s">
        <v>66</v>
      </c>
      <c r="D249" s="110" t="s">
        <v>5</v>
      </c>
      <c r="E249" s="110" t="s">
        <v>5</v>
      </c>
      <c r="F249" s="111">
        <f>300/1000</f>
        <v>0.3</v>
      </c>
      <c r="G249" s="165" t="s">
        <v>74</v>
      </c>
      <c r="H249" s="136">
        <f t="shared" si="5"/>
        <v>850</v>
      </c>
      <c r="I249" s="136"/>
      <c r="J249" s="136"/>
      <c r="K249" s="136"/>
      <c r="L249" s="136"/>
      <c r="M249" s="136"/>
      <c r="N249" s="136"/>
      <c r="O249" s="136"/>
      <c r="P249" s="136"/>
      <c r="Q249" s="136"/>
      <c r="R249" s="136">
        <v>850</v>
      </c>
      <c r="S249" s="136"/>
      <c r="T249" s="47">
        <f t="shared" si="7"/>
        <v>0</v>
      </c>
      <c r="U249" s="45"/>
      <c r="V249" s="45"/>
      <c r="W249" s="45"/>
      <c r="X249" s="136"/>
      <c r="Y249" s="136"/>
      <c r="Z249" s="158"/>
      <c r="AA249" s="276"/>
      <c r="AB249" s="276"/>
      <c r="AC249" s="276"/>
      <c r="AD249" s="276"/>
      <c r="AE249" s="277"/>
    </row>
    <row r="250" spans="1:31" s="42" customFormat="1" ht="38.25" thickBot="1">
      <c r="A250" s="221"/>
      <c r="B250" s="214"/>
      <c r="C250" s="114" t="s">
        <v>8</v>
      </c>
      <c r="D250" s="115"/>
      <c r="E250" s="115"/>
      <c r="F250" s="116"/>
      <c r="G250" s="114" t="s">
        <v>153</v>
      </c>
      <c r="H250" s="117">
        <f t="shared" si="5"/>
        <v>7650</v>
      </c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>
        <v>7650</v>
      </c>
      <c r="T250" s="39">
        <f t="shared" si="7"/>
        <v>0</v>
      </c>
      <c r="U250" s="38"/>
      <c r="V250" s="38"/>
      <c r="W250" s="38"/>
      <c r="X250" s="117"/>
      <c r="Y250" s="117"/>
      <c r="Z250" s="166"/>
      <c r="AA250" s="268"/>
      <c r="AB250" s="268"/>
      <c r="AC250" s="268"/>
      <c r="AD250" s="268"/>
      <c r="AE250" s="269"/>
    </row>
    <row r="251" spans="1:31" s="48" customFormat="1" ht="37.5">
      <c r="A251" s="220">
        <f>A249+1</f>
        <v>117</v>
      </c>
      <c r="B251" s="209" t="s">
        <v>165</v>
      </c>
      <c r="C251" s="93" t="s">
        <v>66</v>
      </c>
      <c r="D251" s="110" t="s">
        <v>5</v>
      </c>
      <c r="E251" s="110" t="s">
        <v>5</v>
      </c>
      <c r="F251" s="111">
        <f>1000/1000</f>
        <v>1</v>
      </c>
      <c r="G251" s="165" t="s">
        <v>74</v>
      </c>
      <c r="H251" s="136">
        <f t="shared" si="5"/>
        <v>6000</v>
      </c>
      <c r="I251" s="136"/>
      <c r="J251" s="136"/>
      <c r="K251" s="136"/>
      <c r="L251" s="136"/>
      <c r="M251" s="136"/>
      <c r="N251" s="136"/>
      <c r="O251" s="136"/>
      <c r="P251" s="136"/>
      <c r="Q251" s="136"/>
      <c r="R251" s="136">
        <v>6000</v>
      </c>
      <c r="S251" s="136"/>
      <c r="T251" s="47">
        <f t="shared" si="7"/>
        <v>0</v>
      </c>
      <c r="U251" s="45"/>
      <c r="V251" s="45"/>
      <c r="W251" s="45"/>
      <c r="X251" s="136"/>
      <c r="Y251" s="136"/>
      <c r="Z251" s="158"/>
      <c r="AA251" s="276"/>
      <c r="AB251" s="276"/>
      <c r="AC251" s="276"/>
      <c r="AD251" s="276"/>
      <c r="AE251" s="277"/>
    </row>
    <row r="252" spans="1:31" s="42" customFormat="1" ht="38.25" thickBot="1">
      <c r="A252" s="221"/>
      <c r="B252" s="214"/>
      <c r="C252" s="114" t="s">
        <v>8</v>
      </c>
      <c r="D252" s="115"/>
      <c r="E252" s="115"/>
      <c r="F252" s="116"/>
      <c r="G252" s="114" t="s">
        <v>153</v>
      </c>
      <c r="H252" s="117">
        <f t="shared" si="5"/>
        <v>54000</v>
      </c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>
        <v>54000</v>
      </c>
      <c r="T252" s="39">
        <f t="shared" si="7"/>
        <v>0</v>
      </c>
      <c r="U252" s="38"/>
      <c r="V252" s="38"/>
      <c r="W252" s="38"/>
      <c r="X252" s="117"/>
      <c r="Y252" s="117"/>
      <c r="Z252" s="166"/>
      <c r="AA252" s="268"/>
      <c r="AB252" s="268"/>
      <c r="AC252" s="268"/>
      <c r="AD252" s="268"/>
      <c r="AE252" s="269"/>
    </row>
    <row r="253" spans="1:31" s="48" customFormat="1" ht="37.5">
      <c r="A253" s="220">
        <f>A251+1</f>
        <v>118</v>
      </c>
      <c r="B253" s="209" t="s">
        <v>166</v>
      </c>
      <c r="C253" s="93" t="s">
        <v>66</v>
      </c>
      <c r="D253" s="110" t="s">
        <v>5</v>
      </c>
      <c r="E253" s="110" t="s">
        <v>5</v>
      </c>
      <c r="F253" s="111">
        <f>2100/1000</f>
        <v>2.1</v>
      </c>
      <c r="G253" s="165" t="s">
        <v>74</v>
      </c>
      <c r="H253" s="136">
        <f t="shared" si="5"/>
        <v>5200</v>
      </c>
      <c r="I253" s="136"/>
      <c r="J253" s="136"/>
      <c r="K253" s="136"/>
      <c r="L253" s="136"/>
      <c r="M253" s="136"/>
      <c r="N253" s="136"/>
      <c r="O253" s="136"/>
      <c r="P253" s="136"/>
      <c r="Q253" s="136"/>
      <c r="R253" s="136">
        <v>5200</v>
      </c>
      <c r="S253" s="136"/>
      <c r="T253" s="47">
        <f t="shared" si="7"/>
        <v>0</v>
      </c>
      <c r="U253" s="45"/>
      <c r="V253" s="45"/>
      <c r="W253" s="45"/>
      <c r="X253" s="136"/>
      <c r="Y253" s="136"/>
      <c r="Z253" s="158"/>
      <c r="AA253" s="276"/>
      <c r="AB253" s="276"/>
      <c r="AC253" s="276"/>
      <c r="AD253" s="276"/>
      <c r="AE253" s="277"/>
    </row>
    <row r="254" spans="1:31" s="42" customFormat="1" ht="38.25" thickBot="1">
      <c r="A254" s="221"/>
      <c r="B254" s="214"/>
      <c r="C254" s="114" t="s">
        <v>8</v>
      </c>
      <c r="D254" s="115"/>
      <c r="E254" s="115"/>
      <c r="F254" s="116"/>
      <c r="G254" s="114" t="s">
        <v>153</v>
      </c>
      <c r="H254" s="117">
        <f t="shared" si="5"/>
        <v>46800</v>
      </c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>
        <v>46800</v>
      </c>
      <c r="T254" s="39">
        <f t="shared" si="7"/>
        <v>0</v>
      </c>
      <c r="U254" s="38"/>
      <c r="V254" s="38"/>
      <c r="W254" s="38"/>
      <c r="X254" s="117"/>
      <c r="Y254" s="117"/>
      <c r="Z254" s="166"/>
      <c r="AA254" s="268"/>
      <c r="AB254" s="268"/>
      <c r="AC254" s="268"/>
      <c r="AD254" s="268"/>
      <c r="AE254" s="269"/>
    </row>
    <row r="255" spans="1:31" s="48" customFormat="1" ht="37.5">
      <c r="A255" s="220">
        <f>A253+1</f>
        <v>119</v>
      </c>
      <c r="B255" s="209" t="s">
        <v>167</v>
      </c>
      <c r="C255" s="93" t="s">
        <v>66</v>
      </c>
      <c r="D255" s="110" t="s">
        <v>5</v>
      </c>
      <c r="E255" s="110" t="s">
        <v>5</v>
      </c>
      <c r="F255" s="111">
        <f>12500/1000</f>
        <v>12.5</v>
      </c>
      <c r="G255" s="165" t="s">
        <v>74</v>
      </c>
      <c r="H255" s="136">
        <f t="shared" si="5"/>
        <v>19000</v>
      </c>
      <c r="I255" s="136"/>
      <c r="J255" s="136"/>
      <c r="K255" s="136"/>
      <c r="L255" s="136"/>
      <c r="M255" s="136"/>
      <c r="N255" s="136"/>
      <c r="O255" s="136"/>
      <c r="P255" s="136"/>
      <c r="Q255" s="136"/>
      <c r="R255" s="136">
        <v>19000</v>
      </c>
      <c r="S255" s="136"/>
      <c r="T255" s="47">
        <f t="shared" si="7"/>
        <v>0</v>
      </c>
      <c r="U255" s="45"/>
      <c r="V255" s="45"/>
      <c r="W255" s="45"/>
      <c r="X255" s="136"/>
      <c r="Y255" s="136"/>
      <c r="Z255" s="158"/>
      <c r="AA255" s="276"/>
      <c r="AB255" s="276"/>
      <c r="AC255" s="276"/>
      <c r="AD255" s="276"/>
      <c r="AE255" s="277"/>
    </row>
    <row r="256" spans="1:31" s="42" customFormat="1" ht="38.25" thickBot="1">
      <c r="A256" s="221"/>
      <c r="B256" s="214"/>
      <c r="C256" s="114" t="s">
        <v>8</v>
      </c>
      <c r="D256" s="115"/>
      <c r="E256" s="115"/>
      <c r="F256" s="116"/>
      <c r="G256" s="114" t="s">
        <v>153</v>
      </c>
      <c r="H256" s="117">
        <f t="shared" si="5"/>
        <v>190000</v>
      </c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>
        <v>190000</v>
      </c>
      <c r="T256" s="39">
        <f t="shared" si="7"/>
        <v>0</v>
      </c>
      <c r="U256" s="38"/>
      <c r="V256" s="38"/>
      <c r="W256" s="38"/>
      <c r="X256" s="117"/>
      <c r="Y256" s="117"/>
      <c r="Z256" s="166"/>
      <c r="AA256" s="268"/>
      <c r="AB256" s="268"/>
      <c r="AC256" s="268"/>
      <c r="AD256" s="268"/>
      <c r="AE256" s="269"/>
    </row>
    <row r="257" spans="1:31" s="48" customFormat="1" ht="37.5">
      <c r="A257" s="220">
        <f>A255+1</f>
        <v>120</v>
      </c>
      <c r="B257" s="209" t="s">
        <v>168</v>
      </c>
      <c r="C257" s="93" t="s">
        <v>66</v>
      </c>
      <c r="D257" s="110" t="s">
        <v>5</v>
      </c>
      <c r="E257" s="110" t="s">
        <v>5</v>
      </c>
      <c r="F257" s="111" t="s">
        <v>169</v>
      </c>
      <c r="G257" s="165" t="s">
        <v>74</v>
      </c>
      <c r="H257" s="136">
        <f t="shared" si="5"/>
        <v>6930</v>
      </c>
      <c r="I257" s="136"/>
      <c r="J257" s="136"/>
      <c r="K257" s="136"/>
      <c r="L257" s="136"/>
      <c r="M257" s="136"/>
      <c r="N257" s="136"/>
      <c r="O257" s="136"/>
      <c r="P257" s="136"/>
      <c r="Q257" s="136"/>
      <c r="R257" s="136">
        <v>6930</v>
      </c>
      <c r="S257" s="136"/>
      <c r="T257" s="47">
        <f t="shared" si="7"/>
        <v>0</v>
      </c>
      <c r="U257" s="45"/>
      <c r="V257" s="45"/>
      <c r="W257" s="45"/>
      <c r="X257" s="136"/>
      <c r="Y257" s="136"/>
      <c r="Z257" s="158"/>
      <c r="AA257" s="276"/>
      <c r="AB257" s="276"/>
      <c r="AC257" s="276"/>
      <c r="AD257" s="276"/>
      <c r="AE257" s="277"/>
    </row>
    <row r="258" spans="1:31" s="42" customFormat="1" ht="38.25" thickBot="1">
      <c r="A258" s="221"/>
      <c r="B258" s="214"/>
      <c r="C258" s="114" t="s">
        <v>8</v>
      </c>
      <c r="D258" s="115"/>
      <c r="E258" s="115"/>
      <c r="F258" s="116"/>
      <c r="G258" s="114" t="s">
        <v>153</v>
      </c>
      <c r="H258" s="117">
        <f t="shared" si="5"/>
        <v>62370</v>
      </c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>
        <v>62370</v>
      </c>
      <c r="T258" s="39">
        <f t="shared" si="7"/>
        <v>0</v>
      </c>
      <c r="U258" s="38"/>
      <c r="V258" s="38"/>
      <c r="W258" s="38"/>
      <c r="X258" s="117"/>
      <c r="Y258" s="117"/>
      <c r="Z258" s="166"/>
      <c r="AA258" s="268"/>
      <c r="AB258" s="268"/>
      <c r="AC258" s="268"/>
      <c r="AD258" s="268"/>
      <c r="AE258" s="269"/>
    </row>
    <row r="259" spans="1:31" s="48" customFormat="1" ht="37.5">
      <c r="A259" s="220">
        <f>A257+1</f>
        <v>121</v>
      </c>
      <c r="B259" s="209" t="s">
        <v>170</v>
      </c>
      <c r="C259" s="93" t="s">
        <v>66</v>
      </c>
      <c r="D259" s="110" t="s">
        <v>5</v>
      </c>
      <c r="E259" s="110" t="s">
        <v>5</v>
      </c>
      <c r="F259" s="111">
        <f>1000/1000</f>
        <v>1</v>
      </c>
      <c r="G259" s="165" t="s">
        <v>216</v>
      </c>
      <c r="H259" s="136">
        <f t="shared" si="5"/>
        <v>6000</v>
      </c>
      <c r="I259" s="136"/>
      <c r="J259" s="136"/>
      <c r="K259" s="136"/>
      <c r="L259" s="136"/>
      <c r="M259" s="136"/>
      <c r="N259" s="136"/>
      <c r="O259" s="136"/>
      <c r="P259" s="136"/>
      <c r="Q259" s="225"/>
      <c r="R259" s="136">
        <v>6000</v>
      </c>
      <c r="S259" s="136"/>
      <c r="T259" s="47">
        <f t="shared" si="7"/>
        <v>0</v>
      </c>
      <c r="U259" s="45"/>
      <c r="V259" s="45"/>
      <c r="W259" s="45"/>
      <c r="X259" s="136"/>
      <c r="Y259" s="136"/>
      <c r="Z259" s="158"/>
      <c r="AA259" s="276"/>
      <c r="AB259" s="276"/>
      <c r="AC259" s="276"/>
      <c r="AD259" s="276"/>
      <c r="AE259" s="277"/>
    </row>
    <row r="260" spans="1:31" s="42" customFormat="1" ht="38.25" thickBot="1">
      <c r="A260" s="221"/>
      <c r="B260" s="214"/>
      <c r="C260" s="114" t="s">
        <v>8</v>
      </c>
      <c r="D260" s="115"/>
      <c r="E260" s="115"/>
      <c r="F260" s="116"/>
      <c r="G260" s="114"/>
      <c r="H260" s="117">
        <v>54000</v>
      </c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>
        <v>54000</v>
      </c>
      <c r="T260" s="39">
        <f t="shared" si="7"/>
        <v>0</v>
      </c>
      <c r="U260" s="38"/>
      <c r="V260" s="38"/>
      <c r="W260" s="38"/>
      <c r="X260" s="117"/>
      <c r="Y260" s="117"/>
      <c r="Z260" s="166"/>
      <c r="AA260" s="268"/>
      <c r="AB260" s="268"/>
      <c r="AC260" s="268"/>
      <c r="AD260" s="268"/>
      <c r="AE260" s="269"/>
    </row>
    <row r="261" spans="1:31" s="48" customFormat="1" ht="37.5">
      <c r="A261" s="220">
        <f>A259+1</f>
        <v>122</v>
      </c>
      <c r="B261" s="209" t="s">
        <v>171</v>
      </c>
      <c r="C261" s="93" t="s">
        <v>66</v>
      </c>
      <c r="D261" s="110" t="s">
        <v>5</v>
      </c>
      <c r="E261" s="110" t="s">
        <v>5</v>
      </c>
      <c r="F261" s="111">
        <f>250/1000</f>
        <v>0.25</v>
      </c>
      <c r="G261" s="165" t="s">
        <v>74</v>
      </c>
      <c r="H261" s="136">
        <f t="shared" si="5"/>
        <v>500</v>
      </c>
      <c r="I261" s="136"/>
      <c r="J261" s="136"/>
      <c r="K261" s="136"/>
      <c r="L261" s="136"/>
      <c r="M261" s="136"/>
      <c r="N261" s="136"/>
      <c r="O261" s="136"/>
      <c r="P261" s="136"/>
      <c r="Q261" s="136"/>
      <c r="R261" s="136">
        <v>500</v>
      </c>
      <c r="S261" s="136"/>
      <c r="T261" s="47">
        <f t="shared" si="7"/>
        <v>0</v>
      </c>
      <c r="U261" s="45"/>
      <c r="V261" s="45"/>
      <c r="W261" s="45"/>
      <c r="X261" s="136"/>
      <c r="Y261" s="136"/>
      <c r="Z261" s="158"/>
      <c r="AA261" s="276"/>
      <c r="AB261" s="276"/>
      <c r="AC261" s="276"/>
      <c r="AD261" s="276"/>
      <c r="AE261" s="277"/>
    </row>
    <row r="262" spans="1:31" s="42" customFormat="1" ht="38.25" thickBot="1">
      <c r="A262" s="221"/>
      <c r="B262" s="214"/>
      <c r="C262" s="114" t="s">
        <v>8</v>
      </c>
      <c r="D262" s="115"/>
      <c r="E262" s="115"/>
      <c r="F262" s="116"/>
      <c r="G262" s="114" t="s">
        <v>153</v>
      </c>
      <c r="H262" s="117">
        <f t="shared" si="5"/>
        <v>4945.3</v>
      </c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>
        <v>4945.3</v>
      </c>
      <c r="T262" s="39">
        <f t="shared" si="7"/>
        <v>0</v>
      </c>
      <c r="U262" s="38"/>
      <c r="V262" s="38"/>
      <c r="W262" s="38"/>
      <c r="X262" s="117"/>
      <c r="Y262" s="117"/>
      <c r="Z262" s="166"/>
      <c r="AA262" s="268"/>
      <c r="AB262" s="268"/>
      <c r="AC262" s="268"/>
      <c r="AD262" s="268"/>
      <c r="AE262" s="269"/>
    </row>
    <row r="263" spans="1:31" s="48" customFormat="1" ht="37.5">
      <c r="A263" s="220">
        <f>A261+1</f>
        <v>123</v>
      </c>
      <c r="B263" s="209" t="s">
        <v>172</v>
      </c>
      <c r="C263" s="93" t="s">
        <v>66</v>
      </c>
      <c r="D263" s="110" t="s">
        <v>5</v>
      </c>
      <c r="E263" s="110" t="s">
        <v>5</v>
      </c>
      <c r="F263" s="111">
        <f>2000/1000</f>
        <v>2</v>
      </c>
      <c r="G263" s="165" t="s">
        <v>74</v>
      </c>
      <c r="H263" s="136">
        <f t="shared" si="5"/>
        <v>600</v>
      </c>
      <c r="I263" s="136"/>
      <c r="J263" s="136"/>
      <c r="K263" s="136"/>
      <c r="L263" s="136"/>
      <c r="M263" s="136"/>
      <c r="N263" s="136"/>
      <c r="O263" s="136"/>
      <c r="P263" s="136"/>
      <c r="Q263" s="136"/>
      <c r="R263" s="136">
        <v>600</v>
      </c>
      <c r="S263" s="136"/>
      <c r="T263" s="47">
        <f t="shared" si="7"/>
        <v>0</v>
      </c>
      <c r="U263" s="45"/>
      <c r="V263" s="45"/>
      <c r="W263" s="45"/>
      <c r="X263" s="136"/>
      <c r="Y263" s="136"/>
      <c r="Z263" s="158"/>
      <c r="AA263" s="276"/>
      <c r="AB263" s="276"/>
      <c r="AC263" s="276"/>
      <c r="AD263" s="276"/>
      <c r="AE263" s="277"/>
    </row>
    <row r="264" spans="1:31" s="42" customFormat="1" ht="38.25" thickBot="1">
      <c r="A264" s="221"/>
      <c r="B264" s="214"/>
      <c r="C264" s="114" t="s">
        <v>8</v>
      </c>
      <c r="D264" s="115"/>
      <c r="E264" s="115"/>
      <c r="F264" s="116"/>
      <c r="G264" s="114" t="s">
        <v>153</v>
      </c>
      <c r="H264" s="117">
        <f t="shared" si="5"/>
        <v>12000</v>
      </c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>
        <v>12000</v>
      </c>
      <c r="T264" s="39">
        <f t="shared" si="7"/>
        <v>0</v>
      </c>
      <c r="U264" s="38"/>
      <c r="V264" s="38"/>
      <c r="W264" s="38"/>
      <c r="X264" s="117"/>
      <c r="Y264" s="117"/>
      <c r="Z264" s="166"/>
      <c r="AA264" s="268"/>
      <c r="AB264" s="268"/>
      <c r="AC264" s="268"/>
      <c r="AD264" s="268"/>
      <c r="AE264" s="269"/>
    </row>
    <row r="265" spans="1:31" s="48" customFormat="1" ht="37.5">
      <c r="A265" s="220">
        <f>A263+1</f>
        <v>124</v>
      </c>
      <c r="B265" s="209" t="s">
        <v>173</v>
      </c>
      <c r="C265" s="93" t="s">
        <v>66</v>
      </c>
      <c r="D265" s="110" t="s">
        <v>5</v>
      </c>
      <c r="E265" s="110" t="s">
        <v>5</v>
      </c>
      <c r="F265" s="111">
        <f>700/1000</f>
        <v>0.7</v>
      </c>
      <c r="G265" s="165" t="s">
        <v>219</v>
      </c>
      <c r="H265" s="136">
        <f t="shared" si="5"/>
        <v>970</v>
      </c>
      <c r="I265" s="136"/>
      <c r="J265" s="136"/>
      <c r="K265" s="136"/>
      <c r="L265" s="136"/>
      <c r="M265" s="136"/>
      <c r="N265" s="136"/>
      <c r="O265" s="136"/>
      <c r="P265" s="136"/>
      <c r="Q265" s="136"/>
      <c r="R265" s="136">
        <v>970</v>
      </c>
      <c r="S265" s="136"/>
      <c r="T265" s="47">
        <f t="shared" si="7"/>
        <v>0</v>
      </c>
      <c r="U265" s="45"/>
      <c r="V265" s="45"/>
      <c r="W265" s="45"/>
      <c r="X265" s="136"/>
      <c r="Y265" s="136"/>
      <c r="Z265" s="158"/>
      <c r="AA265" s="276"/>
      <c r="AB265" s="276"/>
      <c r="AC265" s="276"/>
      <c r="AD265" s="276"/>
      <c r="AE265" s="277"/>
    </row>
    <row r="266" spans="1:31" s="42" customFormat="1" ht="38.25" thickBot="1">
      <c r="A266" s="221"/>
      <c r="B266" s="214"/>
      <c r="C266" s="114" t="s">
        <v>8</v>
      </c>
      <c r="D266" s="115"/>
      <c r="E266" s="115"/>
      <c r="F266" s="116"/>
      <c r="G266" s="114" t="s">
        <v>153</v>
      </c>
      <c r="H266" s="117">
        <f t="shared" si="5"/>
        <v>8698</v>
      </c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>
        <v>8698</v>
      </c>
      <c r="T266" s="39">
        <f t="shared" si="7"/>
        <v>0</v>
      </c>
      <c r="U266" s="38"/>
      <c r="V266" s="38"/>
      <c r="W266" s="38"/>
      <c r="X266" s="117"/>
      <c r="Y266" s="117"/>
      <c r="Z266" s="166"/>
      <c r="AA266" s="268"/>
      <c r="AB266" s="268"/>
      <c r="AC266" s="268"/>
      <c r="AD266" s="268"/>
      <c r="AE266" s="269"/>
    </row>
    <row r="267" spans="1:31" s="48" customFormat="1" ht="37.5">
      <c r="A267" s="220">
        <f>A265+1</f>
        <v>125</v>
      </c>
      <c r="B267" s="209" t="s">
        <v>174</v>
      </c>
      <c r="C267" s="93" t="s">
        <v>66</v>
      </c>
      <c r="D267" s="110" t="s">
        <v>5</v>
      </c>
      <c r="E267" s="110" t="s">
        <v>5</v>
      </c>
      <c r="F267" s="111">
        <f>500/1000</f>
        <v>0.5</v>
      </c>
      <c r="G267" s="165" t="s">
        <v>74</v>
      </c>
      <c r="H267" s="136">
        <f t="shared" si="5"/>
        <v>4880</v>
      </c>
      <c r="I267" s="136"/>
      <c r="J267" s="136"/>
      <c r="K267" s="136"/>
      <c r="L267" s="136"/>
      <c r="M267" s="136"/>
      <c r="N267" s="136"/>
      <c r="O267" s="136"/>
      <c r="P267" s="136"/>
      <c r="Q267" s="136"/>
      <c r="R267" s="136">
        <v>4880</v>
      </c>
      <c r="S267" s="136"/>
      <c r="T267" s="47">
        <f t="shared" si="7"/>
        <v>0</v>
      </c>
      <c r="U267" s="45"/>
      <c r="V267" s="45"/>
      <c r="W267" s="45"/>
      <c r="X267" s="136"/>
      <c r="Y267" s="136"/>
      <c r="Z267" s="158"/>
      <c r="AA267" s="276"/>
      <c r="AB267" s="276"/>
      <c r="AC267" s="276"/>
      <c r="AD267" s="276"/>
      <c r="AE267" s="277"/>
    </row>
    <row r="268" spans="1:31" s="42" customFormat="1" ht="38.25" thickBot="1">
      <c r="A268" s="221"/>
      <c r="B268" s="214"/>
      <c r="C268" s="114" t="s">
        <v>8</v>
      </c>
      <c r="D268" s="115"/>
      <c r="E268" s="115"/>
      <c r="F268" s="116"/>
      <c r="G268" s="114" t="s">
        <v>153</v>
      </c>
      <c r="H268" s="117">
        <f t="shared" si="5"/>
        <v>20000</v>
      </c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>
        <v>20000</v>
      </c>
      <c r="T268" s="39">
        <f t="shared" si="7"/>
        <v>0</v>
      </c>
      <c r="U268" s="38"/>
      <c r="V268" s="38"/>
      <c r="W268" s="38"/>
      <c r="X268" s="117"/>
      <c r="Y268" s="117"/>
      <c r="Z268" s="166"/>
      <c r="AA268" s="268"/>
      <c r="AB268" s="268"/>
      <c r="AC268" s="268"/>
      <c r="AD268" s="268"/>
      <c r="AE268" s="269"/>
    </row>
    <row r="269" spans="1:31" s="48" customFormat="1" ht="37.5">
      <c r="A269" s="220">
        <f>A267+1</f>
        <v>126</v>
      </c>
      <c r="B269" s="209" t="s">
        <v>221</v>
      </c>
      <c r="C269" s="93" t="s">
        <v>66</v>
      </c>
      <c r="D269" s="110" t="s">
        <v>5</v>
      </c>
      <c r="E269" s="110" t="s">
        <v>5</v>
      </c>
      <c r="F269" s="111">
        <f>200/1000</f>
        <v>0.2</v>
      </c>
      <c r="G269" s="165" t="s">
        <v>74</v>
      </c>
      <c r="H269" s="136">
        <f t="shared" si="5"/>
        <v>1672.2</v>
      </c>
      <c r="I269" s="136"/>
      <c r="J269" s="136"/>
      <c r="K269" s="136"/>
      <c r="L269" s="136"/>
      <c r="M269" s="136"/>
      <c r="N269" s="136">
        <v>1672.2</v>
      </c>
      <c r="O269" s="136"/>
      <c r="P269" s="136">
        <v>0</v>
      </c>
      <c r="Q269" s="136"/>
      <c r="R269" s="136"/>
      <c r="S269" s="223"/>
      <c r="T269" s="47">
        <f t="shared" si="7"/>
        <v>1672.2</v>
      </c>
      <c r="U269" s="45"/>
      <c r="V269" s="45"/>
      <c r="W269" s="45"/>
      <c r="X269" s="136"/>
      <c r="Y269" s="136"/>
      <c r="Z269" s="136">
        <v>1672.2</v>
      </c>
      <c r="AA269" s="276"/>
      <c r="AB269" s="276"/>
      <c r="AC269" s="276"/>
      <c r="AD269" s="276"/>
      <c r="AE269" s="277"/>
    </row>
    <row r="270" spans="1:31" s="42" customFormat="1" ht="38.25" thickBot="1">
      <c r="A270" s="221"/>
      <c r="B270" s="214"/>
      <c r="C270" s="114" t="s">
        <v>8</v>
      </c>
      <c r="D270" s="115"/>
      <c r="E270" s="115"/>
      <c r="F270" s="116"/>
      <c r="G270" s="114" t="s">
        <v>73</v>
      </c>
      <c r="H270" s="117">
        <f t="shared" si="5"/>
        <v>34681.3</v>
      </c>
      <c r="I270" s="117"/>
      <c r="J270" s="117"/>
      <c r="K270" s="117"/>
      <c r="L270" s="117"/>
      <c r="M270" s="117"/>
      <c r="N270" s="117"/>
      <c r="O270" s="117">
        <v>34681.3</v>
      </c>
      <c r="P270" s="117"/>
      <c r="Q270" s="117">
        <v>0</v>
      </c>
      <c r="R270" s="117"/>
      <c r="S270" s="201"/>
      <c r="T270" s="39">
        <f t="shared" si="7"/>
        <v>0</v>
      </c>
      <c r="U270" s="38"/>
      <c r="V270" s="38"/>
      <c r="W270" s="38"/>
      <c r="X270" s="117"/>
      <c r="Y270" s="117"/>
      <c r="Z270" s="166"/>
      <c r="AA270" s="268"/>
      <c r="AB270" s="268"/>
      <c r="AC270" s="268"/>
      <c r="AD270" s="268"/>
      <c r="AE270" s="269"/>
    </row>
    <row r="271" spans="1:31" s="42" customFormat="1" ht="57" thickBot="1">
      <c r="A271" s="218">
        <v>127</v>
      </c>
      <c r="B271" s="217" t="s">
        <v>205</v>
      </c>
      <c r="C271" s="93" t="s">
        <v>66</v>
      </c>
      <c r="D271" s="125" t="s">
        <v>5</v>
      </c>
      <c r="E271" s="122" t="s">
        <v>5</v>
      </c>
      <c r="F271" s="169">
        <f>1500/1000</f>
        <v>1.5</v>
      </c>
      <c r="G271" s="114" t="s">
        <v>219</v>
      </c>
      <c r="H271" s="117">
        <f t="shared" si="5"/>
        <v>337.9</v>
      </c>
      <c r="I271" s="117"/>
      <c r="J271" s="117"/>
      <c r="K271" s="117"/>
      <c r="L271" s="117"/>
      <c r="M271" s="117"/>
      <c r="N271" s="117"/>
      <c r="O271" s="117"/>
      <c r="P271" s="117"/>
      <c r="Q271" s="117"/>
      <c r="R271" s="117">
        <v>337.9</v>
      </c>
      <c r="S271" s="201"/>
      <c r="T271" s="39">
        <f t="shared" si="7"/>
        <v>0</v>
      </c>
      <c r="U271" s="38"/>
      <c r="V271" s="38"/>
      <c r="W271" s="38"/>
      <c r="X271" s="117"/>
      <c r="Y271" s="117"/>
      <c r="Z271" s="166"/>
      <c r="AA271" s="268"/>
      <c r="AB271" s="268"/>
      <c r="AC271" s="268"/>
      <c r="AD271" s="268"/>
      <c r="AE271" s="269"/>
    </row>
    <row r="272" spans="1:31" s="48" customFormat="1" ht="37.5">
      <c r="A272" s="220">
        <v>128</v>
      </c>
      <c r="B272" s="209" t="s">
        <v>175</v>
      </c>
      <c r="C272" s="93" t="s">
        <v>66</v>
      </c>
      <c r="D272" s="110" t="s">
        <v>5</v>
      </c>
      <c r="E272" s="110" t="s">
        <v>5</v>
      </c>
      <c r="F272" s="111" t="s">
        <v>74</v>
      </c>
      <c r="G272" s="165" t="s">
        <v>74</v>
      </c>
      <c r="H272" s="136">
        <f t="shared" si="5"/>
        <v>1000</v>
      </c>
      <c r="I272" s="136"/>
      <c r="J272" s="136"/>
      <c r="K272" s="136"/>
      <c r="L272" s="136"/>
      <c r="M272" s="136"/>
      <c r="N272" s="136"/>
      <c r="O272" s="136"/>
      <c r="P272" s="136"/>
      <c r="Q272" s="136"/>
      <c r="R272" s="136">
        <v>1000</v>
      </c>
      <c r="S272" s="136"/>
      <c r="T272" s="47">
        <f t="shared" si="7"/>
        <v>0</v>
      </c>
      <c r="U272" s="45"/>
      <c r="V272" s="45"/>
      <c r="W272" s="45"/>
      <c r="X272" s="136"/>
      <c r="Y272" s="136"/>
      <c r="Z272" s="158"/>
      <c r="AA272" s="276"/>
      <c r="AB272" s="276"/>
      <c r="AC272" s="276"/>
      <c r="AD272" s="276"/>
      <c r="AE272" s="277"/>
    </row>
    <row r="273" spans="1:31" s="42" customFormat="1" ht="38.25" thickBot="1">
      <c r="A273" s="221"/>
      <c r="B273" s="214"/>
      <c r="C273" s="114" t="s">
        <v>8</v>
      </c>
      <c r="D273" s="115"/>
      <c r="E273" s="115"/>
      <c r="F273" s="116"/>
      <c r="G273" s="114" t="s">
        <v>153</v>
      </c>
      <c r="H273" s="117">
        <f t="shared" si="5"/>
        <v>10000</v>
      </c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>
        <v>10000</v>
      </c>
      <c r="T273" s="39">
        <f t="shared" si="7"/>
        <v>0</v>
      </c>
      <c r="U273" s="38"/>
      <c r="V273" s="38"/>
      <c r="W273" s="38"/>
      <c r="X273" s="117"/>
      <c r="Y273" s="117"/>
      <c r="Z273" s="166"/>
      <c r="AA273" s="268"/>
      <c r="AB273" s="268"/>
      <c r="AC273" s="268"/>
      <c r="AD273" s="268"/>
      <c r="AE273" s="269"/>
    </row>
    <row r="274" spans="1:31" s="48" customFormat="1" ht="37.5">
      <c r="A274" s="220">
        <v>129</v>
      </c>
      <c r="B274" s="209" t="s">
        <v>176</v>
      </c>
      <c r="C274" s="93" t="s">
        <v>66</v>
      </c>
      <c r="D274" s="110" t="s">
        <v>5</v>
      </c>
      <c r="E274" s="110" t="s">
        <v>5</v>
      </c>
      <c r="F274" s="111" t="s">
        <v>17</v>
      </c>
      <c r="G274" s="165" t="s">
        <v>216</v>
      </c>
      <c r="H274" s="136">
        <f t="shared" si="5"/>
        <v>345</v>
      </c>
      <c r="I274" s="136"/>
      <c r="J274" s="136"/>
      <c r="K274" s="136"/>
      <c r="L274" s="136"/>
      <c r="M274" s="136"/>
      <c r="N274" s="136"/>
      <c r="O274" s="136"/>
      <c r="P274" s="136"/>
      <c r="Q274" s="136"/>
      <c r="R274" s="136">
        <v>345</v>
      </c>
      <c r="S274" s="136"/>
      <c r="T274" s="47">
        <f t="shared" si="7"/>
        <v>0</v>
      </c>
      <c r="U274" s="45"/>
      <c r="V274" s="45"/>
      <c r="W274" s="45"/>
      <c r="X274" s="136"/>
      <c r="Y274" s="136"/>
      <c r="Z274" s="158"/>
      <c r="AA274" s="276"/>
      <c r="AB274" s="276"/>
      <c r="AC274" s="276"/>
      <c r="AD274" s="276"/>
      <c r="AE274" s="277"/>
    </row>
    <row r="275" spans="1:31" s="42" customFormat="1" ht="38.25" thickBot="1">
      <c r="A275" s="221"/>
      <c r="B275" s="214"/>
      <c r="C275" s="114" t="s">
        <v>8</v>
      </c>
      <c r="D275" s="115"/>
      <c r="E275" s="115"/>
      <c r="F275" s="116"/>
      <c r="G275" s="114" t="s">
        <v>153</v>
      </c>
      <c r="H275" s="117">
        <f t="shared" si="5"/>
        <v>4948.8</v>
      </c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>
        <v>4948.8</v>
      </c>
      <c r="T275" s="39">
        <f t="shared" si="7"/>
        <v>0</v>
      </c>
      <c r="U275" s="38"/>
      <c r="V275" s="38"/>
      <c r="W275" s="38"/>
      <c r="X275" s="117"/>
      <c r="Y275" s="117"/>
      <c r="Z275" s="166"/>
      <c r="AA275" s="268"/>
      <c r="AB275" s="268"/>
      <c r="AC275" s="268"/>
      <c r="AD275" s="268"/>
      <c r="AE275" s="269"/>
    </row>
    <row r="276" spans="1:31" s="48" customFormat="1" ht="37.5">
      <c r="A276" s="220">
        <f>A274+1</f>
        <v>130</v>
      </c>
      <c r="B276" s="209" t="s">
        <v>177</v>
      </c>
      <c r="C276" s="93" t="s">
        <v>66</v>
      </c>
      <c r="D276" s="110" t="s">
        <v>5</v>
      </c>
      <c r="E276" s="110" t="s">
        <v>5</v>
      </c>
      <c r="F276" s="111" t="s">
        <v>17</v>
      </c>
      <c r="G276" s="165" t="s">
        <v>74</v>
      </c>
      <c r="H276" s="136">
        <f t="shared" si="5"/>
        <v>617.5</v>
      </c>
      <c r="I276" s="136"/>
      <c r="J276" s="136"/>
      <c r="K276" s="136"/>
      <c r="L276" s="136"/>
      <c r="M276" s="136"/>
      <c r="N276" s="136"/>
      <c r="O276" s="136"/>
      <c r="P276" s="136"/>
      <c r="Q276" s="136"/>
      <c r="R276" s="136">
        <v>617.5</v>
      </c>
      <c r="S276" s="136"/>
      <c r="T276" s="47">
        <f t="shared" si="7"/>
        <v>0</v>
      </c>
      <c r="U276" s="45"/>
      <c r="V276" s="45"/>
      <c r="W276" s="45"/>
      <c r="X276" s="136"/>
      <c r="Y276" s="136"/>
      <c r="Z276" s="158"/>
      <c r="AA276" s="276"/>
      <c r="AB276" s="276"/>
      <c r="AC276" s="276"/>
      <c r="AD276" s="276"/>
      <c r="AE276" s="277"/>
    </row>
    <row r="277" spans="1:31" s="42" customFormat="1" ht="38.25" thickBot="1">
      <c r="A277" s="221"/>
      <c r="B277" s="214"/>
      <c r="C277" s="114" t="s">
        <v>8</v>
      </c>
      <c r="D277" s="115"/>
      <c r="E277" s="115"/>
      <c r="F277" s="116"/>
      <c r="G277" s="114" t="s">
        <v>153</v>
      </c>
      <c r="H277" s="117">
        <f t="shared" si="5"/>
        <v>16488.2</v>
      </c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>
        <v>16488.2</v>
      </c>
      <c r="T277" s="39">
        <f t="shared" si="7"/>
        <v>0</v>
      </c>
      <c r="U277" s="38"/>
      <c r="V277" s="38"/>
      <c r="W277" s="38"/>
      <c r="X277" s="117"/>
      <c r="Y277" s="117"/>
      <c r="Z277" s="166"/>
      <c r="AA277" s="268"/>
      <c r="AB277" s="268"/>
      <c r="AC277" s="268"/>
      <c r="AD277" s="268"/>
      <c r="AE277" s="269"/>
    </row>
    <row r="278" spans="1:31" s="48" customFormat="1" ht="37.5">
      <c r="A278" s="220">
        <f>A276+1</f>
        <v>131</v>
      </c>
      <c r="B278" s="209" t="s">
        <v>178</v>
      </c>
      <c r="C278" s="93" t="s">
        <v>66</v>
      </c>
      <c r="D278" s="110" t="s">
        <v>5</v>
      </c>
      <c r="E278" s="110" t="s">
        <v>5</v>
      </c>
      <c r="F278" s="111" t="s">
        <v>17</v>
      </c>
      <c r="G278" s="165" t="s">
        <v>74</v>
      </c>
      <c r="H278" s="136">
        <f t="shared" si="5"/>
        <v>603.8</v>
      </c>
      <c r="I278" s="136"/>
      <c r="J278" s="136"/>
      <c r="K278" s="136"/>
      <c r="L278" s="136"/>
      <c r="M278" s="136"/>
      <c r="N278" s="136"/>
      <c r="O278" s="136"/>
      <c r="P278" s="136"/>
      <c r="Q278" s="136"/>
      <c r="R278" s="136">
        <v>603.8</v>
      </c>
      <c r="S278" s="136"/>
      <c r="T278" s="47">
        <f t="shared" si="7"/>
        <v>0</v>
      </c>
      <c r="U278" s="45"/>
      <c r="V278" s="45"/>
      <c r="W278" s="45"/>
      <c r="X278" s="136"/>
      <c r="Y278" s="136"/>
      <c r="Z278" s="158"/>
      <c r="AA278" s="276"/>
      <c r="AB278" s="276"/>
      <c r="AC278" s="276"/>
      <c r="AD278" s="276"/>
      <c r="AE278" s="277"/>
    </row>
    <row r="279" spans="1:31" s="42" customFormat="1" ht="38.25" thickBot="1">
      <c r="A279" s="221"/>
      <c r="B279" s="214"/>
      <c r="C279" s="114" t="s">
        <v>8</v>
      </c>
      <c r="D279" s="115"/>
      <c r="E279" s="115"/>
      <c r="F279" s="116"/>
      <c r="G279" s="114" t="s">
        <v>153</v>
      </c>
      <c r="H279" s="117">
        <f t="shared" si="5"/>
        <v>14104</v>
      </c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>
        <v>14104</v>
      </c>
      <c r="T279" s="39">
        <f t="shared" si="7"/>
        <v>0</v>
      </c>
      <c r="U279" s="38"/>
      <c r="V279" s="38"/>
      <c r="W279" s="38"/>
      <c r="X279" s="117"/>
      <c r="Y279" s="117"/>
      <c r="Z279" s="166"/>
      <c r="AA279" s="268"/>
      <c r="AB279" s="268"/>
      <c r="AC279" s="268"/>
      <c r="AD279" s="268"/>
      <c r="AE279" s="269"/>
    </row>
    <row r="280" spans="1:31" s="48" customFormat="1" ht="37.5">
      <c r="A280" s="220">
        <f>A278+1</f>
        <v>132</v>
      </c>
      <c r="B280" s="209" t="s">
        <v>179</v>
      </c>
      <c r="C280" s="93" t="s">
        <v>66</v>
      </c>
      <c r="D280" s="110" t="s">
        <v>5</v>
      </c>
      <c r="E280" s="110" t="s">
        <v>5</v>
      </c>
      <c r="F280" s="111" t="s">
        <v>17</v>
      </c>
      <c r="G280" s="165" t="s">
        <v>74</v>
      </c>
      <c r="H280" s="136">
        <f t="shared" si="5"/>
        <v>345</v>
      </c>
      <c r="I280" s="136"/>
      <c r="J280" s="136"/>
      <c r="K280" s="136"/>
      <c r="L280" s="136"/>
      <c r="M280" s="136"/>
      <c r="N280" s="136"/>
      <c r="O280" s="136"/>
      <c r="P280" s="136"/>
      <c r="Q280" s="136"/>
      <c r="R280" s="136">
        <v>345</v>
      </c>
      <c r="S280" s="136"/>
      <c r="T280" s="47">
        <f t="shared" si="7"/>
        <v>0</v>
      </c>
      <c r="U280" s="45"/>
      <c r="V280" s="45"/>
      <c r="W280" s="45"/>
      <c r="X280" s="136"/>
      <c r="Y280" s="136"/>
      <c r="Z280" s="158"/>
      <c r="AA280" s="276"/>
      <c r="AB280" s="276"/>
      <c r="AC280" s="276"/>
      <c r="AD280" s="276"/>
      <c r="AE280" s="277"/>
    </row>
    <row r="281" spans="1:31" s="42" customFormat="1" ht="38.25" thickBot="1">
      <c r="A281" s="221"/>
      <c r="B281" s="214"/>
      <c r="C281" s="114" t="s">
        <v>8</v>
      </c>
      <c r="D281" s="115"/>
      <c r="E281" s="115"/>
      <c r="F281" s="116"/>
      <c r="G281" s="114" t="s">
        <v>153</v>
      </c>
      <c r="H281" s="117">
        <f t="shared" si="5"/>
        <v>4948.8</v>
      </c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>
        <v>4948.8</v>
      </c>
      <c r="T281" s="39">
        <f t="shared" si="7"/>
        <v>0</v>
      </c>
      <c r="U281" s="38"/>
      <c r="V281" s="38"/>
      <c r="W281" s="38"/>
      <c r="X281" s="117"/>
      <c r="Y281" s="117"/>
      <c r="Z281" s="166"/>
      <c r="AA281" s="268"/>
      <c r="AB281" s="268"/>
      <c r="AC281" s="268"/>
      <c r="AD281" s="268"/>
      <c r="AE281" s="269"/>
    </row>
    <row r="282" spans="1:31" s="42" customFormat="1" ht="132" thickBot="1">
      <c r="A282" s="218">
        <f>A280+1</f>
        <v>133</v>
      </c>
      <c r="B282" s="217" t="s">
        <v>180</v>
      </c>
      <c r="C282" s="114" t="s">
        <v>84</v>
      </c>
      <c r="D282" s="125" t="s">
        <v>85</v>
      </c>
      <c r="E282" s="125" t="s">
        <v>85</v>
      </c>
      <c r="F282" s="169" t="s">
        <v>17</v>
      </c>
      <c r="G282" s="114" t="s">
        <v>74</v>
      </c>
      <c r="H282" s="117">
        <f t="shared" si="5"/>
        <v>5636</v>
      </c>
      <c r="I282" s="117"/>
      <c r="J282" s="117"/>
      <c r="K282" s="117"/>
      <c r="L282" s="117"/>
      <c r="M282" s="117"/>
      <c r="N282" s="117"/>
      <c r="O282" s="117"/>
      <c r="P282" s="117"/>
      <c r="Q282" s="117"/>
      <c r="R282" s="117">
        <v>5636</v>
      </c>
      <c r="S282" s="201"/>
      <c r="T282" s="39">
        <f t="shared" si="7"/>
        <v>0</v>
      </c>
      <c r="U282" s="38"/>
      <c r="V282" s="38"/>
      <c r="W282" s="38"/>
      <c r="X282" s="117"/>
      <c r="Y282" s="117"/>
      <c r="Z282" s="166"/>
      <c r="AA282" s="268"/>
      <c r="AB282" s="268"/>
      <c r="AC282" s="268"/>
      <c r="AD282" s="268"/>
      <c r="AE282" s="269"/>
    </row>
    <row r="283" spans="1:31" s="48" customFormat="1" ht="37.5">
      <c r="A283" s="220">
        <f>A282+1</f>
        <v>134</v>
      </c>
      <c r="B283" s="209" t="s">
        <v>181</v>
      </c>
      <c r="C283" s="93" t="s">
        <v>66</v>
      </c>
      <c r="D283" s="110" t="s">
        <v>5</v>
      </c>
      <c r="E283" s="110" t="s">
        <v>5</v>
      </c>
      <c r="F283" s="111" t="s">
        <v>17</v>
      </c>
      <c r="G283" s="165" t="s">
        <v>74</v>
      </c>
      <c r="H283" s="136">
        <f t="shared" si="5"/>
        <v>580.1</v>
      </c>
      <c r="I283" s="136"/>
      <c r="J283" s="136"/>
      <c r="K283" s="136"/>
      <c r="L283" s="136"/>
      <c r="M283" s="136"/>
      <c r="N283" s="136"/>
      <c r="O283" s="136"/>
      <c r="P283" s="136"/>
      <c r="Q283" s="136"/>
      <c r="R283" s="136">
        <v>580.1</v>
      </c>
      <c r="S283" s="136"/>
      <c r="T283" s="47">
        <f t="shared" si="7"/>
        <v>0</v>
      </c>
      <c r="U283" s="45"/>
      <c r="V283" s="45"/>
      <c r="W283" s="45"/>
      <c r="X283" s="136"/>
      <c r="Y283" s="136"/>
      <c r="Z283" s="158"/>
      <c r="AA283" s="276"/>
      <c r="AB283" s="276"/>
      <c r="AC283" s="276"/>
      <c r="AD283" s="276"/>
      <c r="AE283" s="277"/>
    </row>
    <row r="284" spans="1:31" s="42" customFormat="1" ht="38.25" thickBot="1">
      <c r="A284" s="221"/>
      <c r="B284" s="214"/>
      <c r="C284" s="114" t="s">
        <v>8</v>
      </c>
      <c r="D284" s="115"/>
      <c r="E284" s="115"/>
      <c r="F284" s="116"/>
      <c r="G284" s="114" t="s">
        <v>153</v>
      </c>
      <c r="H284" s="117">
        <f t="shared" si="5"/>
        <v>12970.9</v>
      </c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>
        <v>12970.9</v>
      </c>
      <c r="T284" s="39">
        <f t="shared" si="7"/>
        <v>0</v>
      </c>
      <c r="U284" s="38"/>
      <c r="V284" s="38"/>
      <c r="W284" s="38"/>
      <c r="X284" s="117"/>
      <c r="Y284" s="117"/>
      <c r="Z284" s="166"/>
      <c r="AA284" s="268"/>
      <c r="AB284" s="268"/>
      <c r="AC284" s="268"/>
      <c r="AD284" s="268"/>
      <c r="AE284" s="269"/>
    </row>
    <row r="285" spans="1:31" s="48" customFormat="1" ht="37.5">
      <c r="A285" s="220">
        <f>A283+1</f>
        <v>135</v>
      </c>
      <c r="B285" s="209" t="s">
        <v>182</v>
      </c>
      <c r="C285" s="93" t="s">
        <v>66</v>
      </c>
      <c r="D285" s="110" t="s">
        <v>5</v>
      </c>
      <c r="E285" s="110" t="s">
        <v>5</v>
      </c>
      <c r="F285" s="111" t="s">
        <v>17</v>
      </c>
      <c r="G285" s="165" t="s">
        <v>74</v>
      </c>
      <c r="H285" s="136">
        <f t="shared" si="5"/>
        <v>278.6</v>
      </c>
      <c r="I285" s="136"/>
      <c r="J285" s="136"/>
      <c r="K285" s="136"/>
      <c r="L285" s="136"/>
      <c r="M285" s="136"/>
      <c r="N285" s="136"/>
      <c r="O285" s="136"/>
      <c r="P285" s="136"/>
      <c r="Q285" s="136"/>
      <c r="R285" s="136">
        <v>278.6</v>
      </c>
      <c r="S285" s="136"/>
      <c r="T285" s="47">
        <f t="shared" si="7"/>
        <v>0</v>
      </c>
      <c r="U285" s="45"/>
      <c r="V285" s="45"/>
      <c r="W285" s="45"/>
      <c r="X285" s="136"/>
      <c r="Y285" s="136"/>
      <c r="Z285" s="158"/>
      <c r="AA285" s="276"/>
      <c r="AB285" s="276"/>
      <c r="AC285" s="276"/>
      <c r="AD285" s="276"/>
      <c r="AE285" s="277"/>
    </row>
    <row r="286" spans="1:31" s="42" customFormat="1" ht="38.25" thickBot="1">
      <c r="A286" s="221"/>
      <c r="B286" s="214"/>
      <c r="C286" s="114" t="s">
        <v>8</v>
      </c>
      <c r="D286" s="115"/>
      <c r="E286" s="115"/>
      <c r="F286" s="116"/>
      <c r="G286" s="114" t="s">
        <v>153</v>
      </c>
      <c r="H286" s="117">
        <f t="shared" si="5"/>
        <v>5458.9</v>
      </c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>
        <v>5458.9</v>
      </c>
      <c r="T286" s="39">
        <f aca="true" t="shared" si="8" ref="T286:T300">SUM(U286:AE286)</f>
        <v>0</v>
      </c>
      <c r="U286" s="38"/>
      <c r="V286" s="38"/>
      <c r="W286" s="38"/>
      <c r="X286" s="117"/>
      <c r="Y286" s="117"/>
      <c r="Z286" s="166"/>
      <c r="AA286" s="268"/>
      <c r="AB286" s="268"/>
      <c r="AC286" s="268"/>
      <c r="AD286" s="268"/>
      <c r="AE286" s="269"/>
    </row>
    <row r="287" spans="1:31" s="48" customFormat="1" ht="37.5">
      <c r="A287" s="220">
        <f>A285+1</f>
        <v>136</v>
      </c>
      <c r="B287" s="209" t="s">
        <v>183</v>
      </c>
      <c r="C287" s="93" t="s">
        <v>66</v>
      </c>
      <c r="D287" s="110" t="s">
        <v>5</v>
      </c>
      <c r="E287" s="110" t="s">
        <v>5</v>
      </c>
      <c r="F287" s="111">
        <f>11214/1000</f>
        <v>11.214</v>
      </c>
      <c r="G287" s="165" t="s">
        <v>74</v>
      </c>
      <c r="H287" s="136">
        <f t="shared" si="5"/>
        <v>75000</v>
      </c>
      <c r="I287" s="136"/>
      <c r="J287" s="136"/>
      <c r="K287" s="136"/>
      <c r="L287" s="136"/>
      <c r="M287" s="136"/>
      <c r="N287" s="136"/>
      <c r="O287" s="136"/>
      <c r="P287" s="136"/>
      <c r="Q287" s="136"/>
      <c r="R287" s="136">
        <v>75000</v>
      </c>
      <c r="S287" s="136"/>
      <c r="T287" s="47">
        <f t="shared" si="8"/>
        <v>0</v>
      </c>
      <c r="U287" s="45"/>
      <c r="V287" s="45"/>
      <c r="W287" s="45"/>
      <c r="X287" s="136"/>
      <c r="Y287" s="136"/>
      <c r="Z287" s="158"/>
      <c r="AA287" s="276"/>
      <c r="AB287" s="276"/>
      <c r="AC287" s="276"/>
      <c r="AD287" s="276"/>
      <c r="AE287" s="277"/>
    </row>
    <row r="288" spans="1:31" s="42" customFormat="1" ht="38.25" thickBot="1">
      <c r="A288" s="221"/>
      <c r="B288" s="214"/>
      <c r="C288" s="114" t="s">
        <v>8</v>
      </c>
      <c r="D288" s="115"/>
      <c r="E288" s="115"/>
      <c r="F288" s="116"/>
      <c r="G288" s="114" t="s">
        <v>153</v>
      </c>
      <c r="H288" s="117">
        <f t="shared" si="5"/>
        <v>221960</v>
      </c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>
        <v>221960</v>
      </c>
      <c r="T288" s="39">
        <f t="shared" si="8"/>
        <v>0</v>
      </c>
      <c r="U288" s="38"/>
      <c r="V288" s="38"/>
      <c r="W288" s="38"/>
      <c r="X288" s="117"/>
      <c r="Y288" s="117"/>
      <c r="Z288" s="166"/>
      <c r="AA288" s="268"/>
      <c r="AB288" s="268"/>
      <c r="AC288" s="268"/>
      <c r="AD288" s="268"/>
      <c r="AE288" s="269"/>
    </row>
    <row r="289" spans="1:31" s="42" customFormat="1" ht="57" thickBot="1">
      <c r="A289" s="218">
        <f>A287+1</f>
        <v>137</v>
      </c>
      <c r="B289" s="217" t="s">
        <v>184</v>
      </c>
      <c r="C289" s="114" t="s">
        <v>185</v>
      </c>
      <c r="D289" s="125" t="s">
        <v>56</v>
      </c>
      <c r="E289" s="125" t="s">
        <v>56</v>
      </c>
      <c r="F289" s="169">
        <f>500/1000</f>
        <v>0.5</v>
      </c>
      <c r="G289" s="114" t="s">
        <v>151</v>
      </c>
      <c r="H289" s="117">
        <f t="shared" si="5"/>
        <v>25657</v>
      </c>
      <c r="I289" s="117"/>
      <c r="J289" s="117"/>
      <c r="K289" s="117"/>
      <c r="L289" s="117"/>
      <c r="M289" s="117"/>
      <c r="N289" s="117"/>
      <c r="O289" s="117">
        <v>25657</v>
      </c>
      <c r="P289" s="117"/>
      <c r="Q289" s="117"/>
      <c r="R289" s="117"/>
      <c r="S289" s="201"/>
      <c r="T289" s="39">
        <f t="shared" si="8"/>
        <v>0</v>
      </c>
      <c r="U289" s="38"/>
      <c r="V289" s="38"/>
      <c r="W289" s="38"/>
      <c r="X289" s="117"/>
      <c r="Y289" s="117"/>
      <c r="Z289" s="166"/>
      <c r="AA289" s="268"/>
      <c r="AB289" s="268"/>
      <c r="AC289" s="268"/>
      <c r="AD289" s="268"/>
      <c r="AE289" s="269"/>
    </row>
    <row r="290" spans="1:31" s="48" customFormat="1" ht="37.5">
      <c r="A290" s="220">
        <f>A289+1</f>
        <v>138</v>
      </c>
      <c r="B290" s="209" t="s">
        <v>186</v>
      </c>
      <c r="C290" s="93" t="s">
        <v>66</v>
      </c>
      <c r="D290" s="110" t="s">
        <v>5</v>
      </c>
      <c r="E290" s="110" t="s">
        <v>5</v>
      </c>
      <c r="F290" s="111"/>
      <c r="G290" s="165" t="s">
        <v>74</v>
      </c>
      <c r="H290" s="136">
        <f t="shared" si="5"/>
        <v>1659.6</v>
      </c>
      <c r="I290" s="136"/>
      <c r="J290" s="136"/>
      <c r="K290" s="136"/>
      <c r="L290" s="136"/>
      <c r="M290" s="136"/>
      <c r="N290" s="136"/>
      <c r="O290" s="136"/>
      <c r="P290" s="136">
        <v>1659.6</v>
      </c>
      <c r="Q290" s="136"/>
      <c r="R290" s="136"/>
      <c r="S290" s="223"/>
      <c r="T290" s="47">
        <f t="shared" si="8"/>
        <v>0</v>
      </c>
      <c r="U290" s="45"/>
      <c r="V290" s="45"/>
      <c r="W290" s="45"/>
      <c r="X290" s="136"/>
      <c r="Y290" s="136"/>
      <c r="Z290" s="158"/>
      <c r="AA290" s="276"/>
      <c r="AB290" s="276"/>
      <c r="AC290" s="276"/>
      <c r="AD290" s="276"/>
      <c r="AE290" s="277"/>
    </row>
    <row r="291" spans="1:31" s="42" customFormat="1" ht="38.25" thickBot="1">
      <c r="A291" s="221"/>
      <c r="B291" s="214"/>
      <c r="C291" s="114" t="s">
        <v>8</v>
      </c>
      <c r="D291" s="115"/>
      <c r="E291" s="115"/>
      <c r="F291" s="116"/>
      <c r="G291" s="114" t="s">
        <v>152</v>
      </c>
      <c r="H291" s="117">
        <f t="shared" si="5"/>
        <v>0</v>
      </c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201"/>
      <c r="T291" s="39">
        <f t="shared" si="8"/>
        <v>0</v>
      </c>
      <c r="U291" s="38"/>
      <c r="V291" s="38"/>
      <c r="W291" s="38"/>
      <c r="X291" s="117"/>
      <c r="Y291" s="117"/>
      <c r="Z291" s="166"/>
      <c r="AA291" s="268"/>
      <c r="AB291" s="268"/>
      <c r="AC291" s="268"/>
      <c r="AD291" s="268"/>
      <c r="AE291" s="269"/>
    </row>
    <row r="292" spans="1:31" s="20" customFormat="1" ht="57" thickBot="1">
      <c r="A292" s="218">
        <f>A290+1</f>
        <v>139</v>
      </c>
      <c r="B292" s="217" t="s">
        <v>187</v>
      </c>
      <c r="C292" s="114" t="s">
        <v>8</v>
      </c>
      <c r="D292" s="125" t="s">
        <v>5</v>
      </c>
      <c r="E292" s="122" t="s">
        <v>5</v>
      </c>
      <c r="F292" s="169">
        <f>2415/1000</f>
        <v>2.415</v>
      </c>
      <c r="G292" s="114" t="s">
        <v>128</v>
      </c>
      <c r="H292" s="117">
        <f t="shared" si="5"/>
        <v>111041.99999999999</v>
      </c>
      <c r="I292" s="117"/>
      <c r="J292" s="117"/>
      <c r="K292" s="117"/>
      <c r="L292" s="117"/>
      <c r="M292" s="117"/>
      <c r="N292" s="117">
        <f>112408.9-626.3-740.6</f>
        <v>111041.99999999999</v>
      </c>
      <c r="O292" s="117"/>
      <c r="P292" s="117"/>
      <c r="Q292" s="117"/>
      <c r="R292" s="117"/>
      <c r="S292" s="201"/>
      <c r="T292" s="6">
        <f t="shared" si="8"/>
        <v>111041.99999999999</v>
      </c>
      <c r="U292" s="30"/>
      <c r="V292" s="30"/>
      <c r="W292" s="30"/>
      <c r="X292" s="117"/>
      <c r="Y292" s="117"/>
      <c r="Z292" s="117">
        <f>112408.9-626.3-740.6</f>
        <v>111041.99999999999</v>
      </c>
      <c r="AA292" s="268"/>
      <c r="AB292" s="268"/>
      <c r="AC292" s="268"/>
      <c r="AD292" s="268"/>
      <c r="AE292" s="269"/>
    </row>
    <row r="293" spans="1:31" s="48" customFormat="1" ht="37.5">
      <c r="A293" s="220">
        <f>A292+1</f>
        <v>140</v>
      </c>
      <c r="B293" s="209" t="s">
        <v>188</v>
      </c>
      <c r="C293" s="93" t="s">
        <v>66</v>
      </c>
      <c r="D293" s="110" t="s">
        <v>5</v>
      </c>
      <c r="E293" s="110" t="s">
        <v>5</v>
      </c>
      <c r="F293" s="111" t="s">
        <v>17</v>
      </c>
      <c r="G293" s="165" t="s">
        <v>74</v>
      </c>
      <c r="H293" s="136">
        <f t="shared" si="5"/>
        <v>830</v>
      </c>
      <c r="I293" s="136"/>
      <c r="J293" s="136"/>
      <c r="K293" s="136"/>
      <c r="L293" s="136"/>
      <c r="M293" s="136"/>
      <c r="N293" s="136"/>
      <c r="O293" s="136"/>
      <c r="P293" s="136"/>
      <c r="Q293" s="136"/>
      <c r="R293" s="136">
        <v>830</v>
      </c>
      <c r="S293" s="136"/>
      <c r="T293" s="47">
        <f t="shared" si="8"/>
        <v>0</v>
      </c>
      <c r="U293" s="45"/>
      <c r="V293" s="45"/>
      <c r="W293" s="45"/>
      <c r="X293" s="136"/>
      <c r="Y293" s="136"/>
      <c r="Z293" s="158"/>
      <c r="AA293" s="276"/>
      <c r="AB293" s="276"/>
      <c r="AC293" s="276"/>
      <c r="AD293" s="276"/>
      <c r="AE293" s="277"/>
    </row>
    <row r="294" spans="1:31" s="42" customFormat="1" ht="88.5" customHeight="1" thickBot="1">
      <c r="A294" s="221"/>
      <c r="B294" s="214"/>
      <c r="C294" s="114" t="s">
        <v>8</v>
      </c>
      <c r="D294" s="115"/>
      <c r="E294" s="115"/>
      <c r="F294" s="116"/>
      <c r="G294" s="114" t="s">
        <v>153</v>
      </c>
      <c r="H294" s="117">
        <f t="shared" si="5"/>
        <v>7434.8</v>
      </c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>
        <v>7434.8</v>
      </c>
      <c r="T294" s="39">
        <f t="shared" si="8"/>
        <v>0</v>
      </c>
      <c r="U294" s="38"/>
      <c r="V294" s="38"/>
      <c r="W294" s="38"/>
      <c r="X294" s="117"/>
      <c r="Y294" s="117"/>
      <c r="Z294" s="166"/>
      <c r="AA294" s="268"/>
      <c r="AB294" s="268"/>
      <c r="AC294" s="268"/>
      <c r="AD294" s="268"/>
      <c r="AE294" s="269"/>
    </row>
    <row r="295" spans="1:31" s="48" customFormat="1" ht="37.5">
      <c r="A295" s="220">
        <f>A293+1</f>
        <v>141</v>
      </c>
      <c r="B295" s="209" t="s">
        <v>189</v>
      </c>
      <c r="C295" s="93" t="s">
        <v>66</v>
      </c>
      <c r="D295" s="110" t="s">
        <v>5</v>
      </c>
      <c r="E295" s="110" t="s">
        <v>5</v>
      </c>
      <c r="F295" s="111"/>
      <c r="G295" s="165" t="s">
        <v>74</v>
      </c>
      <c r="H295" s="136">
        <f t="shared" si="5"/>
        <v>700</v>
      </c>
      <c r="I295" s="136"/>
      <c r="J295" s="136"/>
      <c r="K295" s="136"/>
      <c r="L295" s="136"/>
      <c r="M295" s="136"/>
      <c r="N295" s="136"/>
      <c r="O295" s="136"/>
      <c r="P295" s="136"/>
      <c r="Q295" s="136"/>
      <c r="R295" s="136">
        <v>700</v>
      </c>
      <c r="S295" s="136"/>
      <c r="T295" s="47">
        <f t="shared" si="8"/>
        <v>0</v>
      </c>
      <c r="U295" s="45"/>
      <c r="V295" s="45"/>
      <c r="W295" s="45"/>
      <c r="X295" s="136"/>
      <c r="Y295" s="136"/>
      <c r="Z295" s="158"/>
      <c r="AA295" s="276"/>
      <c r="AB295" s="276"/>
      <c r="AC295" s="276"/>
      <c r="AD295" s="276"/>
      <c r="AE295" s="277"/>
    </row>
    <row r="296" spans="1:31" s="42" customFormat="1" ht="38.25" thickBot="1">
      <c r="A296" s="221"/>
      <c r="B296" s="214"/>
      <c r="C296" s="114" t="s">
        <v>8</v>
      </c>
      <c r="D296" s="115"/>
      <c r="E296" s="115"/>
      <c r="F296" s="116"/>
      <c r="G296" s="114" t="s">
        <v>153</v>
      </c>
      <c r="H296" s="117">
        <f t="shared" si="5"/>
        <v>6300</v>
      </c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>
        <v>6300</v>
      </c>
      <c r="T296" s="39">
        <f t="shared" si="8"/>
        <v>0</v>
      </c>
      <c r="U296" s="38"/>
      <c r="V296" s="38"/>
      <c r="W296" s="38"/>
      <c r="X296" s="117"/>
      <c r="Y296" s="117"/>
      <c r="Z296" s="166"/>
      <c r="AA296" s="268"/>
      <c r="AB296" s="268"/>
      <c r="AC296" s="268"/>
      <c r="AD296" s="268"/>
      <c r="AE296" s="269"/>
    </row>
    <row r="297" spans="1:31" s="48" customFormat="1" ht="37.5">
      <c r="A297" s="220">
        <f>A295+1</f>
        <v>142</v>
      </c>
      <c r="B297" s="209" t="s">
        <v>190</v>
      </c>
      <c r="C297" s="93" t="s">
        <v>66</v>
      </c>
      <c r="D297" s="110" t="s">
        <v>5</v>
      </c>
      <c r="E297" s="110" t="s">
        <v>5</v>
      </c>
      <c r="F297" s="111" t="s">
        <v>17</v>
      </c>
      <c r="G297" s="165" t="s">
        <v>74</v>
      </c>
      <c r="H297" s="136">
        <f t="shared" si="5"/>
        <v>440</v>
      </c>
      <c r="I297" s="136"/>
      <c r="J297" s="136"/>
      <c r="K297" s="136"/>
      <c r="L297" s="136"/>
      <c r="M297" s="136"/>
      <c r="N297" s="136"/>
      <c r="O297" s="136"/>
      <c r="P297" s="136"/>
      <c r="Q297" s="136"/>
      <c r="R297" s="136">
        <v>440</v>
      </c>
      <c r="S297" s="136"/>
      <c r="T297" s="47">
        <f t="shared" si="8"/>
        <v>0</v>
      </c>
      <c r="U297" s="45"/>
      <c r="V297" s="45"/>
      <c r="W297" s="45"/>
      <c r="X297" s="136"/>
      <c r="Y297" s="136"/>
      <c r="Z297" s="158"/>
      <c r="AA297" s="276"/>
      <c r="AB297" s="276"/>
      <c r="AC297" s="276"/>
      <c r="AD297" s="276"/>
      <c r="AE297" s="277"/>
    </row>
    <row r="298" spans="1:31" s="42" customFormat="1" ht="38.25" thickBot="1">
      <c r="A298" s="221"/>
      <c r="B298" s="214"/>
      <c r="C298" s="114" t="s">
        <v>8</v>
      </c>
      <c r="D298" s="115"/>
      <c r="E298" s="115"/>
      <c r="F298" s="116"/>
      <c r="G298" s="114" t="s">
        <v>153</v>
      </c>
      <c r="H298" s="117">
        <f t="shared" si="5"/>
        <v>3960</v>
      </c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>
        <v>3960</v>
      </c>
      <c r="T298" s="39">
        <f t="shared" si="8"/>
        <v>0</v>
      </c>
      <c r="U298" s="38"/>
      <c r="V298" s="38"/>
      <c r="W298" s="38"/>
      <c r="X298" s="117"/>
      <c r="Y298" s="117"/>
      <c r="Z298" s="166"/>
      <c r="AA298" s="268"/>
      <c r="AB298" s="268"/>
      <c r="AC298" s="268"/>
      <c r="AD298" s="268"/>
      <c r="AE298" s="269"/>
    </row>
    <row r="299" spans="1:31" s="20" customFormat="1" ht="57" thickBot="1">
      <c r="A299" s="226">
        <v>143</v>
      </c>
      <c r="B299" s="227" t="s">
        <v>207</v>
      </c>
      <c r="C299" s="171" t="s">
        <v>66</v>
      </c>
      <c r="D299" s="125" t="s">
        <v>5</v>
      </c>
      <c r="E299" s="125" t="s">
        <v>5</v>
      </c>
      <c r="F299" s="172">
        <f>540/1000</f>
        <v>0.54</v>
      </c>
      <c r="G299" s="171" t="s">
        <v>74</v>
      </c>
      <c r="H299" s="126">
        <f t="shared" si="5"/>
        <v>0</v>
      </c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228"/>
      <c r="T299" s="49">
        <f t="shared" si="8"/>
        <v>0</v>
      </c>
      <c r="U299" s="8"/>
      <c r="V299" s="7"/>
      <c r="W299" s="7"/>
      <c r="X299" s="126"/>
      <c r="Y299" s="126"/>
      <c r="Z299" s="228"/>
      <c r="AA299" s="274"/>
      <c r="AB299" s="274"/>
      <c r="AC299" s="274"/>
      <c r="AD299" s="274"/>
      <c r="AE299" s="275"/>
    </row>
    <row r="300" spans="1:31" s="34" customFormat="1" ht="57" thickBot="1">
      <c r="A300" s="231">
        <v>144</v>
      </c>
      <c r="B300" s="232" t="s">
        <v>294</v>
      </c>
      <c r="C300" s="171" t="s">
        <v>66</v>
      </c>
      <c r="D300" s="125" t="s">
        <v>5</v>
      </c>
      <c r="E300" s="125" t="s">
        <v>5</v>
      </c>
      <c r="F300" s="169">
        <v>2.5</v>
      </c>
      <c r="G300" s="114" t="s">
        <v>74</v>
      </c>
      <c r="H300" s="126">
        <f t="shared" si="5"/>
        <v>4778</v>
      </c>
      <c r="I300" s="117"/>
      <c r="J300" s="117"/>
      <c r="K300" s="117"/>
      <c r="L300" s="117"/>
      <c r="M300" s="117"/>
      <c r="N300" s="117"/>
      <c r="O300" s="117">
        <v>4778</v>
      </c>
      <c r="P300" s="117"/>
      <c r="Q300" s="117"/>
      <c r="R300" s="117"/>
      <c r="S300" s="166"/>
      <c r="T300" s="50">
        <f t="shared" si="8"/>
        <v>4778</v>
      </c>
      <c r="U300" s="33"/>
      <c r="V300" s="32"/>
      <c r="W300" s="32"/>
      <c r="X300" s="229"/>
      <c r="Y300" s="229"/>
      <c r="Z300" s="230"/>
      <c r="AA300" s="117">
        <v>4778</v>
      </c>
      <c r="AB300" s="280"/>
      <c r="AC300" s="280"/>
      <c r="AD300" s="280"/>
      <c r="AE300" s="281"/>
    </row>
    <row r="301" spans="1:31" s="42" customFormat="1" ht="57" thickBot="1">
      <c r="A301" s="231">
        <v>145</v>
      </c>
      <c r="B301" s="232" t="s">
        <v>296</v>
      </c>
      <c r="C301" s="171" t="s">
        <v>66</v>
      </c>
      <c r="D301" s="125" t="s">
        <v>5</v>
      </c>
      <c r="E301" s="125" t="s">
        <v>5</v>
      </c>
      <c r="F301" s="169" t="s">
        <v>295</v>
      </c>
      <c r="G301" s="114" t="s">
        <v>74</v>
      </c>
      <c r="H301" s="126">
        <f aca="true" t="shared" si="9" ref="H301:H310">SUM(I301:S301)</f>
        <v>3898.4</v>
      </c>
      <c r="I301" s="117"/>
      <c r="J301" s="117"/>
      <c r="K301" s="117"/>
      <c r="L301" s="117"/>
      <c r="M301" s="117"/>
      <c r="N301" s="117"/>
      <c r="O301" s="117">
        <v>3898.4</v>
      </c>
      <c r="P301" s="117"/>
      <c r="Q301" s="117"/>
      <c r="R301" s="117"/>
      <c r="S301" s="166"/>
      <c r="T301" s="51">
        <f aca="true" t="shared" si="10" ref="T301:T310">SUM(U301:AE301)</f>
        <v>0</v>
      </c>
      <c r="U301" s="39"/>
      <c r="V301" s="38"/>
      <c r="W301" s="38"/>
      <c r="X301" s="117"/>
      <c r="Y301" s="117"/>
      <c r="Z301" s="166"/>
      <c r="AA301" s="117">
        <v>0</v>
      </c>
      <c r="AB301" s="268"/>
      <c r="AC301" s="268"/>
      <c r="AD301" s="268"/>
      <c r="AE301" s="282"/>
    </row>
    <row r="302" spans="1:31" s="42" customFormat="1" ht="113.25" thickBot="1">
      <c r="A302" s="231">
        <v>146</v>
      </c>
      <c r="B302" s="232" t="s">
        <v>297</v>
      </c>
      <c r="C302" s="171"/>
      <c r="D302" s="125" t="s">
        <v>56</v>
      </c>
      <c r="E302" s="125" t="s">
        <v>56</v>
      </c>
      <c r="F302" s="169" t="s">
        <v>295</v>
      </c>
      <c r="G302" s="114" t="s">
        <v>74</v>
      </c>
      <c r="H302" s="126">
        <f t="shared" si="9"/>
        <v>39539.9</v>
      </c>
      <c r="I302" s="117"/>
      <c r="J302" s="117"/>
      <c r="K302" s="117"/>
      <c r="L302" s="117"/>
      <c r="M302" s="117"/>
      <c r="N302" s="117"/>
      <c r="O302" s="117">
        <v>39539.9</v>
      </c>
      <c r="P302" s="117"/>
      <c r="Q302" s="117"/>
      <c r="R302" s="117"/>
      <c r="S302" s="166"/>
      <c r="T302" s="51">
        <f t="shared" si="10"/>
        <v>0</v>
      </c>
      <c r="U302" s="39"/>
      <c r="V302" s="38"/>
      <c r="W302" s="38"/>
      <c r="X302" s="117"/>
      <c r="Y302" s="117"/>
      <c r="Z302" s="166"/>
      <c r="AA302" s="117">
        <v>0</v>
      </c>
      <c r="AB302" s="268"/>
      <c r="AC302" s="268"/>
      <c r="AD302" s="268"/>
      <c r="AE302" s="282"/>
    </row>
    <row r="303" spans="1:31" s="42" customFormat="1" ht="57" thickBot="1">
      <c r="A303" s="231">
        <v>147</v>
      </c>
      <c r="B303" s="232" t="s">
        <v>298</v>
      </c>
      <c r="C303" s="171" t="s">
        <v>66</v>
      </c>
      <c r="D303" s="125" t="s">
        <v>5</v>
      </c>
      <c r="E303" s="125" t="s">
        <v>5</v>
      </c>
      <c r="F303" s="169" t="s">
        <v>295</v>
      </c>
      <c r="G303" s="114" t="s">
        <v>74</v>
      </c>
      <c r="H303" s="126">
        <f t="shared" si="9"/>
        <v>2918.8</v>
      </c>
      <c r="I303" s="117"/>
      <c r="J303" s="117"/>
      <c r="K303" s="117"/>
      <c r="L303" s="117"/>
      <c r="M303" s="117"/>
      <c r="N303" s="117"/>
      <c r="O303" s="117"/>
      <c r="P303" s="117"/>
      <c r="Q303" s="117"/>
      <c r="R303" s="117">
        <v>2918.8</v>
      </c>
      <c r="S303" s="166"/>
      <c r="T303" s="51">
        <f t="shared" si="10"/>
        <v>0</v>
      </c>
      <c r="U303" s="39"/>
      <c r="V303" s="38"/>
      <c r="W303" s="38"/>
      <c r="X303" s="117"/>
      <c r="Y303" s="117"/>
      <c r="Z303" s="166"/>
      <c r="AA303" s="117">
        <v>0</v>
      </c>
      <c r="AB303" s="268"/>
      <c r="AC303" s="268"/>
      <c r="AD303" s="268"/>
      <c r="AE303" s="282"/>
    </row>
    <row r="304" spans="1:31" s="42" customFormat="1" ht="57" thickBot="1">
      <c r="A304" s="231">
        <v>148</v>
      </c>
      <c r="B304" s="232" t="s">
        <v>299</v>
      </c>
      <c r="C304" s="171" t="s">
        <v>66</v>
      </c>
      <c r="D304" s="125" t="s">
        <v>56</v>
      </c>
      <c r="E304" s="125" t="s">
        <v>56</v>
      </c>
      <c r="F304" s="169" t="s">
        <v>295</v>
      </c>
      <c r="G304" s="114" t="s">
        <v>74</v>
      </c>
      <c r="H304" s="126">
        <f t="shared" si="9"/>
        <v>13533.3</v>
      </c>
      <c r="I304" s="117"/>
      <c r="J304" s="117"/>
      <c r="K304" s="117"/>
      <c r="L304" s="117"/>
      <c r="M304" s="117"/>
      <c r="N304" s="117"/>
      <c r="O304" s="117">
        <v>13533.3</v>
      </c>
      <c r="P304" s="117"/>
      <c r="Q304" s="117"/>
      <c r="R304" s="117"/>
      <c r="S304" s="166"/>
      <c r="T304" s="51">
        <f t="shared" si="10"/>
        <v>0</v>
      </c>
      <c r="U304" s="39"/>
      <c r="V304" s="38"/>
      <c r="W304" s="38"/>
      <c r="X304" s="117"/>
      <c r="Y304" s="117"/>
      <c r="Z304" s="166"/>
      <c r="AA304" s="117">
        <v>0</v>
      </c>
      <c r="AB304" s="268"/>
      <c r="AC304" s="268"/>
      <c r="AD304" s="268"/>
      <c r="AE304" s="282"/>
    </row>
    <row r="305" spans="1:31" s="42" customFormat="1" ht="57" thickBot="1">
      <c r="A305" s="231">
        <v>149</v>
      </c>
      <c r="B305" s="232" t="s">
        <v>300</v>
      </c>
      <c r="C305" s="114" t="s">
        <v>8</v>
      </c>
      <c r="D305" s="125" t="s">
        <v>5</v>
      </c>
      <c r="E305" s="125" t="s">
        <v>5</v>
      </c>
      <c r="F305" s="169" t="s">
        <v>295</v>
      </c>
      <c r="G305" s="114" t="s">
        <v>151</v>
      </c>
      <c r="H305" s="126">
        <f t="shared" si="9"/>
        <v>54173.5</v>
      </c>
      <c r="I305" s="117"/>
      <c r="J305" s="117"/>
      <c r="K305" s="117"/>
      <c r="L305" s="117"/>
      <c r="M305" s="117"/>
      <c r="N305" s="117"/>
      <c r="O305" s="117">
        <v>54173.5</v>
      </c>
      <c r="P305" s="117"/>
      <c r="Q305" s="117"/>
      <c r="R305" s="117"/>
      <c r="S305" s="166"/>
      <c r="T305" s="51">
        <f t="shared" si="10"/>
        <v>0</v>
      </c>
      <c r="U305" s="39"/>
      <c r="V305" s="38"/>
      <c r="W305" s="38"/>
      <c r="X305" s="117"/>
      <c r="Y305" s="117"/>
      <c r="Z305" s="166"/>
      <c r="AA305" s="117">
        <v>0</v>
      </c>
      <c r="AB305" s="268"/>
      <c r="AC305" s="268"/>
      <c r="AD305" s="268"/>
      <c r="AE305" s="282"/>
    </row>
    <row r="306" spans="1:31" s="42" customFormat="1" ht="57" thickBot="1">
      <c r="A306" s="231">
        <v>150</v>
      </c>
      <c r="B306" s="232" t="s">
        <v>301</v>
      </c>
      <c r="C306" s="114" t="s">
        <v>8</v>
      </c>
      <c r="D306" s="125" t="s">
        <v>5</v>
      </c>
      <c r="E306" s="125" t="s">
        <v>5</v>
      </c>
      <c r="F306" s="169" t="s">
        <v>295</v>
      </c>
      <c r="G306" s="114" t="s">
        <v>151</v>
      </c>
      <c r="H306" s="126">
        <f t="shared" si="9"/>
        <v>57513</v>
      </c>
      <c r="I306" s="117"/>
      <c r="J306" s="117"/>
      <c r="K306" s="117"/>
      <c r="L306" s="117"/>
      <c r="M306" s="117"/>
      <c r="N306" s="117"/>
      <c r="O306" s="117">
        <v>57513</v>
      </c>
      <c r="P306" s="117"/>
      <c r="Q306" s="117"/>
      <c r="R306" s="117"/>
      <c r="S306" s="166"/>
      <c r="T306" s="51">
        <f t="shared" si="10"/>
        <v>0</v>
      </c>
      <c r="U306" s="39"/>
      <c r="V306" s="38"/>
      <c r="W306" s="38"/>
      <c r="X306" s="117"/>
      <c r="Y306" s="117"/>
      <c r="Z306" s="166"/>
      <c r="AA306" s="117">
        <v>0</v>
      </c>
      <c r="AB306" s="268"/>
      <c r="AC306" s="268"/>
      <c r="AD306" s="268"/>
      <c r="AE306" s="282"/>
    </row>
    <row r="307" spans="1:31" s="42" customFormat="1" ht="57" thickBot="1">
      <c r="A307" s="231">
        <v>151</v>
      </c>
      <c r="B307" s="232" t="s">
        <v>302</v>
      </c>
      <c r="C307" s="114" t="s">
        <v>8</v>
      </c>
      <c r="D307" s="125" t="s">
        <v>5</v>
      </c>
      <c r="E307" s="125" t="s">
        <v>5</v>
      </c>
      <c r="F307" s="169" t="s">
        <v>295</v>
      </c>
      <c r="G307" s="114" t="s">
        <v>151</v>
      </c>
      <c r="H307" s="126">
        <f t="shared" si="9"/>
        <v>15713.3</v>
      </c>
      <c r="I307" s="117"/>
      <c r="J307" s="117"/>
      <c r="K307" s="117"/>
      <c r="L307" s="117"/>
      <c r="M307" s="117"/>
      <c r="N307" s="117"/>
      <c r="O307" s="117">
        <v>15713.3</v>
      </c>
      <c r="P307" s="117"/>
      <c r="Q307" s="117"/>
      <c r="R307" s="117"/>
      <c r="S307" s="166"/>
      <c r="T307" s="51">
        <f t="shared" si="10"/>
        <v>0</v>
      </c>
      <c r="U307" s="39"/>
      <c r="V307" s="38"/>
      <c r="W307" s="38"/>
      <c r="X307" s="117"/>
      <c r="Y307" s="117"/>
      <c r="Z307" s="166"/>
      <c r="AA307" s="117">
        <v>0</v>
      </c>
      <c r="AB307" s="268"/>
      <c r="AC307" s="268"/>
      <c r="AD307" s="268"/>
      <c r="AE307" s="282"/>
    </row>
    <row r="308" spans="1:31" s="42" customFormat="1" ht="57" thickBot="1">
      <c r="A308" s="231">
        <v>152</v>
      </c>
      <c r="B308" s="232" t="s">
        <v>312</v>
      </c>
      <c r="C308" s="114" t="s">
        <v>8</v>
      </c>
      <c r="D308" s="125" t="s">
        <v>5</v>
      </c>
      <c r="E308" s="125" t="s">
        <v>5</v>
      </c>
      <c r="F308" s="169" t="s">
        <v>295</v>
      </c>
      <c r="G308" s="114" t="s">
        <v>151</v>
      </c>
      <c r="H308" s="126">
        <f t="shared" si="9"/>
        <v>8000.2</v>
      </c>
      <c r="I308" s="117"/>
      <c r="J308" s="117"/>
      <c r="K308" s="117"/>
      <c r="L308" s="117"/>
      <c r="M308" s="117"/>
      <c r="N308" s="117"/>
      <c r="O308" s="117">
        <v>8000.2</v>
      </c>
      <c r="P308" s="117"/>
      <c r="Q308" s="117"/>
      <c r="R308" s="117"/>
      <c r="S308" s="166"/>
      <c r="T308" s="51">
        <f t="shared" si="10"/>
        <v>0</v>
      </c>
      <c r="U308" s="39"/>
      <c r="V308" s="38"/>
      <c r="W308" s="38"/>
      <c r="X308" s="117"/>
      <c r="Y308" s="117"/>
      <c r="Z308" s="166"/>
      <c r="AA308" s="117">
        <v>0</v>
      </c>
      <c r="AB308" s="268"/>
      <c r="AC308" s="268"/>
      <c r="AD308" s="268"/>
      <c r="AE308" s="282"/>
    </row>
    <row r="309" spans="1:31" s="42" customFormat="1" ht="57" thickBot="1">
      <c r="A309" s="231">
        <v>153</v>
      </c>
      <c r="B309" s="232" t="s">
        <v>313</v>
      </c>
      <c r="C309" s="114" t="s">
        <v>8</v>
      </c>
      <c r="D309" s="125" t="s">
        <v>5</v>
      </c>
      <c r="E309" s="125" t="s">
        <v>5</v>
      </c>
      <c r="F309" s="169" t="s">
        <v>295</v>
      </c>
      <c r="G309" s="114" t="s">
        <v>151</v>
      </c>
      <c r="H309" s="126">
        <f t="shared" si="9"/>
        <v>8212.2</v>
      </c>
      <c r="I309" s="117"/>
      <c r="J309" s="117"/>
      <c r="K309" s="117"/>
      <c r="L309" s="117"/>
      <c r="M309" s="117"/>
      <c r="N309" s="117"/>
      <c r="O309" s="117">
        <v>8212.2</v>
      </c>
      <c r="P309" s="117"/>
      <c r="Q309" s="117"/>
      <c r="R309" s="117"/>
      <c r="S309" s="166"/>
      <c r="T309" s="51">
        <f t="shared" si="10"/>
        <v>0</v>
      </c>
      <c r="U309" s="39"/>
      <c r="V309" s="38"/>
      <c r="W309" s="38"/>
      <c r="X309" s="117"/>
      <c r="Y309" s="117"/>
      <c r="Z309" s="166"/>
      <c r="AA309" s="117">
        <v>0</v>
      </c>
      <c r="AB309" s="268"/>
      <c r="AC309" s="268"/>
      <c r="AD309" s="268"/>
      <c r="AE309" s="282"/>
    </row>
    <row r="310" spans="1:31" s="42" customFormat="1" ht="57" thickBot="1">
      <c r="A310" s="231">
        <v>154</v>
      </c>
      <c r="B310" s="232" t="s">
        <v>303</v>
      </c>
      <c r="C310" s="171"/>
      <c r="D310" s="125" t="s">
        <v>56</v>
      </c>
      <c r="E310" s="125" t="s">
        <v>56</v>
      </c>
      <c r="F310" s="169" t="s">
        <v>295</v>
      </c>
      <c r="G310" s="114" t="s">
        <v>74</v>
      </c>
      <c r="H310" s="126">
        <f t="shared" si="9"/>
        <v>16200</v>
      </c>
      <c r="I310" s="117"/>
      <c r="J310" s="117"/>
      <c r="K310" s="117"/>
      <c r="L310" s="117"/>
      <c r="M310" s="117"/>
      <c r="N310" s="117"/>
      <c r="O310" s="117">
        <v>16200</v>
      </c>
      <c r="P310" s="117"/>
      <c r="Q310" s="117"/>
      <c r="R310" s="117"/>
      <c r="S310" s="166"/>
      <c r="T310" s="51">
        <f t="shared" si="10"/>
        <v>0</v>
      </c>
      <c r="U310" s="39"/>
      <c r="V310" s="38"/>
      <c r="W310" s="38"/>
      <c r="X310" s="117"/>
      <c r="Y310" s="117"/>
      <c r="Z310" s="166"/>
      <c r="AA310" s="117">
        <v>0</v>
      </c>
      <c r="AB310" s="268"/>
      <c r="AC310" s="268"/>
      <c r="AD310" s="268"/>
      <c r="AE310" s="282"/>
    </row>
    <row r="311" spans="1:31" s="20" customFormat="1" ht="19.5" thickBot="1">
      <c r="A311" s="233" t="s">
        <v>7</v>
      </c>
      <c r="B311" s="234"/>
      <c r="C311" s="234"/>
      <c r="D311" s="234"/>
      <c r="E311" s="234"/>
      <c r="F311" s="234"/>
      <c r="G311" s="234"/>
      <c r="H311" s="235">
        <f>SUM(H9:H310)</f>
        <v>3383281.9299999997</v>
      </c>
      <c r="I311" s="235">
        <f aca="true" t="shared" si="11" ref="I311:AE311">SUM(I10:I310)</f>
        <v>58898.6</v>
      </c>
      <c r="J311" s="235">
        <f t="shared" si="11"/>
        <v>226240.4601</v>
      </c>
      <c r="K311" s="235">
        <f t="shared" si="11"/>
        <v>187410.57</v>
      </c>
      <c r="L311" s="235">
        <f t="shared" si="11"/>
        <v>172356.8</v>
      </c>
      <c r="M311" s="235">
        <f t="shared" si="11"/>
        <v>102731.59999999999</v>
      </c>
      <c r="N311" s="235">
        <f t="shared" si="11"/>
        <v>142070</v>
      </c>
      <c r="O311" s="235">
        <f t="shared" si="11"/>
        <v>474467.4</v>
      </c>
      <c r="P311" s="235">
        <f t="shared" si="11"/>
        <v>255477.00000000003</v>
      </c>
      <c r="Q311" s="235">
        <f t="shared" si="11"/>
        <v>86663.5</v>
      </c>
      <c r="R311" s="235">
        <f t="shared" si="11"/>
        <v>400508.3999999998</v>
      </c>
      <c r="S311" s="235">
        <f t="shared" si="11"/>
        <v>1441836</v>
      </c>
      <c r="T311" s="22">
        <f>SUM(T9:T310)</f>
        <v>984065.7981000002</v>
      </c>
      <c r="U311" s="22">
        <f t="shared" si="11"/>
        <v>94593.4</v>
      </c>
      <c r="V311" s="22">
        <f t="shared" si="11"/>
        <v>232061.9381</v>
      </c>
      <c r="W311" s="22">
        <f t="shared" si="11"/>
        <v>195863.36</v>
      </c>
      <c r="X311" s="235">
        <f t="shared" si="11"/>
        <v>174811.5</v>
      </c>
      <c r="Y311" s="235">
        <f t="shared" si="11"/>
        <v>102731.59999999999</v>
      </c>
      <c r="Z311" s="235">
        <f t="shared" si="11"/>
        <v>142105.3</v>
      </c>
      <c r="AA311" s="235">
        <f t="shared" si="11"/>
        <v>47789</v>
      </c>
      <c r="AB311" s="235">
        <f t="shared" si="11"/>
        <v>0</v>
      </c>
      <c r="AC311" s="235">
        <f t="shared" si="11"/>
        <v>0</v>
      </c>
      <c r="AD311" s="235">
        <f t="shared" si="11"/>
        <v>0</v>
      </c>
      <c r="AE311" s="235">
        <f t="shared" si="11"/>
        <v>0</v>
      </c>
    </row>
    <row r="312" spans="1:31" ht="18.75">
      <c r="A312" s="236"/>
      <c r="B312" s="236"/>
      <c r="C312" s="236"/>
      <c r="D312" s="236"/>
      <c r="E312" s="236"/>
      <c r="F312" s="236"/>
      <c r="G312" s="236"/>
      <c r="H312" s="236"/>
      <c r="I312" s="236"/>
      <c r="J312" s="237"/>
      <c r="K312" s="237"/>
      <c r="L312" s="237"/>
      <c r="M312" s="237"/>
      <c r="N312" s="237"/>
      <c r="O312" s="238"/>
      <c r="P312" s="238"/>
      <c r="Q312" s="239"/>
      <c r="R312" s="238"/>
      <c r="S312" s="238"/>
      <c r="T312" s="25"/>
      <c r="X312" s="241"/>
      <c r="Y312" s="241"/>
      <c r="Z312" s="241"/>
      <c r="AA312" s="241"/>
      <c r="AB312" s="241"/>
      <c r="AC312" s="241"/>
      <c r="AD312" s="241"/>
      <c r="AE312" s="241"/>
    </row>
    <row r="313" spans="1:31" ht="23.25">
      <c r="A313" s="240"/>
      <c r="B313" s="241"/>
      <c r="C313" s="242"/>
      <c r="D313" s="241"/>
      <c r="E313" s="241"/>
      <c r="F313" s="241"/>
      <c r="G313" s="241"/>
      <c r="H313" s="241"/>
      <c r="I313" s="241"/>
      <c r="J313" s="241"/>
      <c r="K313" s="241"/>
      <c r="L313" s="241"/>
      <c r="M313" s="241"/>
      <c r="N313" s="241"/>
      <c r="O313" s="238"/>
      <c r="P313" s="238"/>
      <c r="Q313" s="239"/>
      <c r="R313" s="238"/>
      <c r="S313" s="238"/>
      <c r="X313" s="241"/>
      <c r="Y313" s="241"/>
      <c r="Z313" s="241"/>
      <c r="AA313" s="241"/>
      <c r="AB313" s="241"/>
      <c r="AC313" s="241"/>
      <c r="AD313" s="241"/>
      <c r="AE313" s="241"/>
    </row>
    <row r="314" spans="1:31" ht="65.25" customHeight="1">
      <c r="A314" s="243" t="s">
        <v>192</v>
      </c>
      <c r="B314" s="243"/>
      <c r="C314" s="243"/>
      <c r="D314" s="243"/>
      <c r="E314" s="243"/>
      <c r="F314" s="243"/>
      <c r="G314" s="241"/>
      <c r="H314" s="241"/>
      <c r="I314" s="244"/>
      <c r="J314" s="245"/>
      <c r="K314" s="244"/>
      <c r="L314" s="244"/>
      <c r="M314" s="244"/>
      <c r="N314" s="244"/>
      <c r="O314" s="238"/>
      <c r="P314" s="238"/>
      <c r="Q314" s="239">
        <v>1.1</v>
      </c>
      <c r="R314" s="238">
        <v>0.3</v>
      </c>
      <c r="S314" s="238"/>
      <c r="T314" s="18"/>
      <c r="U314" s="18"/>
      <c r="V314" s="18"/>
      <c r="W314" s="18"/>
      <c r="X314" s="241"/>
      <c r="Y314" s="241"/>
      <c r="Z314" s="241"/>
      <c r="AA314" s="241"/>
      <c r="AB314" s="241"/>
      <c r="AC314" s="241"/>
      <c r="AD314" s="241"/>
      <c r="AE314" s="241"/>
    </row>
    <row r="315" spans="1:31" ht="23.25">
      <c r="A315" s="240"/>
      <c r="B315" s="241"/>
      <c r="C315" s="242"/>
      <c r="D315" s="241"/>
      <c r="E315" s="241"/>
      <c r="F315" s="241"/>
      <c r="G315" s="241"/>
      <c r="H315" s="241"/>
      <c r="I315" s="244"/>
      <c r="J315" s="244"/>
      <c r="K315" s="244"/>
      <c r="L315" s="244"/>
      <c r="M315" s="244"/>
      <c r="N315" s="244"/>
      <c r="O315" s="238"/>
      <c r="P315" s="238"/>
      <c r="Q315" s="239"/>
      <c r="R315" s="238"/>
      <c r="S315" s="238"/>
      <c r="T315" s="18"/>
      <c r="X315" s="241"/>
      <c r="Y315" s="241"/>
      <c r="Z315" s="241"/>
      <c r="AA315" s="241"/>
      <c r="AB315" s="241"/>
      <c r="AC315" s="241"/>
      <c r="AD315" s="241"/>
      <c r="AE315" s="241"/>
    </row>
    <row r="316" spans="1:31" ht="23.25">
      <c r="A316" s="240"/>
      <c r="B316" s="241"/>
      <c r="C316" s="242"/>
      <c r="D316" s="241"/>
      <c r="E316" s="241"/>
      <c r="F316" s="241"/>
      <c r="G316" s="241"/>
      <c r="H316" s="241"/>
      <c r="I316" s="244"/>
      <c r="J316" s="244"/>
      <c r="K316" s="244"/>
      <c r="L316" s="244"/>
      <c r="M316" s="244"/>
      <c r="N316" s="244"/>
      <c r="O316" s="238"/>
      <c r="P316" s="238"/>
      <c r="Q316" s="239"/>
      <c r="R316" s="238"/>
      <c r="S316" s="238"/>
      <c r="T316" s="18"/>
      <c r="X316" s="241"/>
      <c r="Y316" s="241"/>
      <c r="Z316" s="241"/>
      <c r="AA316" s="241"/>
      <c r="AB316" s="241"/>
      <c r="AC316" s="241"/>
      <c r="AD316" s="241"/>
      <c r="AE316" s="241"/>
    </row>
    <row r="317" spans="1:31" ht="23.25">
      <c r="A317" s="240"/>
      <c r="B317" s="241"/>
      <c r="C317" s="242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  <c r="N317" s="241"/>
      <c r="O317" s="238"/>
      <c r="P317" s="238"/>
      <c r="Q317" s="239"/>
      <c r="R317" s="238"/>
      <c r="S317" s="238"/>
      <c r="X317" s="241"/>
      <c r="Y317" s="241"/>
      <c r="Z317" s="241"/>
      <c r="AA317" s="241"/>
      <c r="AB317" s="241"/>
      <c r="AC317" s="241"/>
      <c r="AD317" s="241"/>
      <c r="AE317" s="241"/>
    </row>
    <row r="318" spans="1:31" ht="23.25">
      <c r="A318" s="240"/>
      <c r="B318" s="241"/>
      <c r="C318" s="242"/>
      <c r="D318" s="241"/>
      <c r="E318" s="241"/>
      <c r="F318" s="241"/>
      <c r="G318" s="241"/>
      <c r="H318" s="241"/>
      <c r="I318" s="241"/>
      <c r="J318" s="241"/>
      <c r="K318" s="241"/>
      <c r="L318" s="241"/>
      <c r="M318" s="241"/>
      <c r="N318" s="241"/>
      <c r="O318" s="238"/>
      <c r="P318" s="238"/>
      <c r="Q318" s="239"/>
      <c r="R318" s="238"/>
      <c r="S318" s="238"/>
      <c r="X318" s="241"/>
      <c r="Y318" s="241"/>
      <c r="Z318" s="241"/>
      <c r="AA318" s="241"/>
      <c r="AB318" s="241"/>
      <c r="AC318" s="241"/>
      <c r="AD318" s="241"/>
      <c r="AE318" s="241"/>
    </row>
    <row r="319" spans="1:31" ht="26.25">
      <c r="A319" s="240"/>
      <c r="B319" s="241"/>
      <c r="C319" s="242"/>
      <c r="D319" s="241"/>
      <c r="E319" s="241"/>
      <c r="F319" s="241"/>
      <c r="G319" s="241"/>
      <c r="H319" s="241"/>
      <c r="I319" s="241"/>
      <c r="J319" s="246"/>
      <c r="K319" s="241"/>
      <c r="L319" s="241"/>
      <c r="M319" s="241"/>
      <c r="N319" s="241"/>
      <c r="O319" s="238"/>
      <c r="P319" s="238"/>
      <c r="Q319" s="239"/>
      <c r="R319" s="238"/>
      <c r="S319" s="238"/>
      <c r="X319" s="241"/>
      <c r="Y319" s="241"/>
      <c r="Z319" s="241"/>
      <c r="AA319" s="241"/>
      <c r="AB319" s="241"/>
      <c r="AC319" s="241"/>
      <c r="AD319" s="241"/>
      <c r="AE319" s="241"/>
    </row>
    <row r="320" spans="1:31" ht="23.25">
      <c r="A320" s="240"/>
      <c r="B320" s="241"/>
      <c r="C320" s="242"/>
      <c r="D320" s="241"/>
      <c r="E320" s="241"/>
      <c r="F320" s="241"/>
      <c r="G320" s="241"/>
      <c r="H320" s="241"/>
      <c r="I320" s="241"/>
      <c r="J320" s="241"/>
      <c r="K320" s="241"/>
      <c r="L320" s="241"/>
      <c r="M320" s="241"/>
      <c r="N320" s="241"/>
      <c r="O320" s="238"/>
      <c r="P320" s="238"/>
      <c r="Q320" s="239"/>
      <c r="R320" s="238"/>
      <c r="S320" s="238"/>
      <c r="X320" s="241"/>
      <c r="Y320" s="241"/>
      <c r="Z320" s="241"/>
      <c r="AA320" s="241"/>
      <c r="AB320" s="241"/>
      <c r="AC320" s="241"/>
      <c r="AD320" s="241"/>
      <c r="AE320" s="241"/>
    </row>
    <row r="321" spans="1:31" ht="23.25">
      <c r="A321" s="240"/>
      <c r="B321" s="241"/>
      <c r="C321" s="242"/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38"/>
      <c r="P321" s="238"/>
      <c r="Q321" s="239"/>
      <c r="R321" s="238"/>
      <c r="S321" s="238"/>
      <c r="X321" s="241"/>
      <c r="Y321" s="241"/>
      <c r="Z321" s="241"/>
      <c r="AA321" s="241"/>
      <c r="AB321" s="241"/>
      <c r="AC321" s="241"/>
      <c r="AD321" s="241"/>
      <c r="AE321" s="241"/>
    </row>
    <row r="322" spans="1:31" ht="23.25">
      <c r="A322" s="240"/>
      <c r="B322" s="241"/>
      <c r="C322" s="242"/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38"/>
      <c r="P322" s="238"/>
      <c r="Q322" s="239"/>
      <c r="R322" s="238"/>
      <c r="S322" s="238"/>
      <c r="X322" s="241"/>
      <c r="Y322" s="241"/>
      <c r="Z322" s="241"/>
      <c r="AA322" s="241"/>
      <c r="AB322" s="241"/>
      <c r="AC322" s="241"/>
      <c r="AD322" s="241"/>
      <c r="AE322" s="241"/>
    </row>
    <row r="323" spans="1:31" ht="23.25">
      <c r="A323" s="240"/>
      <c r="B323" s="241"/>
      <c r="C323" s="242"/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1"/>
      <c r="O323" s="238"/>
      <c r="P323" s="238"/>
      <c r="Q323" s="239"/>
      <c r="R323" s="238"/>
      <c r="S323" s="238"/>
      <c r="X323" s="241"/>
      <c r="Y323" s="241"/>
      <c r="Z323" s="241"/>
      <c r="AA323" s="241"/>
      <c r="AB323" s="241"/>
      <c r="AC323" s="241"/>
      <c r="AD323" s="241"/>
      <c r="AE323" s="241"/>
    </row>
    <row r="324" spans="1:31" ht="23.25">
      <c r="A324" s="240"/>
      <c r="B324" s="241"/>
      <c r="C324" s="242"/>
      <c r="D324" s="241"/>
      <c r="E324" s="241"/>
      <c r="F324" s="241"/>
      <c r="G324" s="241"/>
      <c r="H324" s="241"/>
      <c r="I324" s="241"/>
      <c r="J324" s="241"/>
      <c r="K324" s="241"/>
      <c r="L324" s="241"/>
      <c r="M324" s="241"/>
      <c r="N324" s="241"/>
      <c r="O324" s="238"/>
      <c r="P324" s="238"/>
      <c r="Q324" s="239"/>
      <c r="R324" s="238"/>
      <c r="S324" s="238"/>
      <c r="X324" s="241"/>
      <c r="Y324" s="241"/>
      <c r="Z324" s="241"/>
      <c r="AA324" s="241"/>
      <c r="AB324" s="241"/>
      <c r="AC324" s="241"/>
      <c r="AD324" s="241"/>
      <c r="AE324" s="241"/>
    </row>
    <row r="325" spans="1:31" ht="23.25">
      <c r="A325" s="240"/>
      <c r="B325" s="241"/>
      <c r="C325" s="242"/>
      <c r="D325" s="241"/>
      <c r="E325" s="241"/>
      <c r="F325" s="241"/>
      <c r="G325" s="241"/>
      <c r="H325" s="241"/>
      <c r="I325" s="241"/>
      <c r="J325" s="241"/>
      <c r="K325" s="241"/>
      <c r="L325" s="241"/>
      <c r="M325" s="241"/>
      <c r="N325" s="241"/>
      <c r="O325" s="238"/>
      <c r="P325" s="238"/>
      <c r="Q325" s="239"/>
      <c r="R325" s="238"/>
      <c r="S325" s="238"/>
      <c r="X325" s="241"/>
      <c r="Y325" s="241"/>
      <c r="Z325" s="241"/>
      <c r="AA325" s="241"/>
      <c r="AB325" s="241"/>
      <c r="AC325" s="241"/>
      <c r="AD325" s="241"/>
      <c r="AE325" s="241"/>
    </row>
    <row r="326" spans="1:31" ht="23.25">
      <c r="A326" s="240"/>
      <c r="B326" s="241"/>
      <c r="C326" s="242"/>
      <c r="D326" s="241"/>
      <c r="E326" s="241"/>
      <c r="F326" s="241"/>
      <c r="G326" s="241"/>
      <c r="H326" s="241"/>
      <c r="I326" s="241"/>
      <c r="J326" s="241"/>
      <c r="K326" s="241"/>
      <c r="L326" s="241"/>
      <c r="M326" s="241"/>
      <c r="N326" s="241"/>
      <c r="O326" s="238"/>
      <c r="P326" s="238"/>
      <c r="Q326" s="239"/>
      <c r="R326" s="238"/>
      <c r="S326" s="238"/>
      <c r="X326" s="241"/>
      <c r="Y326" s="241"/>
      <c r="Z326" s="241"/>
      <c r="AA326" s="241"/>
      <c r="AB326" s="241"/>
      <c r="AC326" s="241"/>
      <c r="AD326" s="241"/>
      <c r="AE326" s="241"/>
    </row>
    <row r="327" spans="1:31" ht="23.25">
      <c r="A327" s="240"/>
      <c r="B327" s="241"/>
      <c r="C327" s="242"/>
      <c r="D327" s="241"/>
      <c r="E327" s="241"/>
      <c r="F327" s="241"/>
      <c r="G327" s="241"/>
      <c r="H327" s="241"/>
      <c r="I327" s="241"/>
      <c r="J327" s="241"/>
      <c r="K327" s="241"/>
      <c r="L327" s="241"/>
      <c r="M327" s="241"/>
      <c r="N327" s="241"/>
      <c r="O327" s="238"/>
      <c r="P327" s="238"/>
      <c r="Q327" s="239"/>
      <c r="R327" s="238"/>
      <c r="S327" s="238"/>
      <c r="X327" s="241"/>
      <c r="Y327" s="241"/>
      <c r="Z327" s="241"/>
      <c r="AA327" s="241"/>
      <c r="AB327" s="241"/>
      <c r="AC327" s="241"/>
      <c r="AD327" s="241"/>
      <c r="AE327" s="241"/>
    </row>
    <row r="328" spans="1:31" ht="23.25">
      <c r="A328" s="240"/>
      <c r="B328" s="241"/>
      <c r="C328" s="242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38"/>
      <c r="P328" s="238"/>
      <c r="Q328" s="239"/>
      <c r="R328" s="238"/>
      <c r="S328" s="238"/>
      <c r="X328" s="241"/>
      <c r="Y328" s="241"/>
      <c r="Z328" s="241"/>
      <c r="AA328" s="241"/>
      <c r="AB328" s="241"/>
      <c r="AC328" s="241"/>
      <c r="AD328" s="241"/>
      <c r="AE328" s="241"/>
    </row>
    <row r="329" spans="1:19" ht="23.25">
      <c r="A329" s="240"/>
      <c r="B329" s="241"/>
      <c r="C329" s="242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38"/>
      <c r="P329" s="238"/>
      <c r="Q329" s="239"/>
      <c r="R329" s="238"/>
      <c r="S329" s="238"/>
    </row>
  </sheetData>
  <sheetProtection/>
  <autoFilter ref="A8:Y311"/>
  <mergeCells count="599">
    <mergeCell ref="F297:F298"/>
    <mergeCell ref="A295:A296"/>
    <mergeCell ref="B295:B296"/>
    <mergeCell ref="A297:A298"/>
    <mergeCell ref="B297:B298"/>
    <mergeCell ref="D297:D298"/>
    <mergeCell ref="E297:E298"/>
    <mergeCell ref="F293:F294"/>
    <mergeCell ref="A290:A291"/>
    <mergeCell ref="B290:B291"/>
    <mergeCell ref="D295:D296"/>
    <mergeCell ref="E295:E296"/>
    <mergeCell ref="F295:F296"/>
    <mergeCell ref="A293:A294"/>
    <mergeCell ref="B293:B294"/>
    <mergeCell ref="D293:D294"/>
    <mergeCell ref="E293:E294"/>
    <mergeCell ref="F287:F288"/>
    <mergeCell ref="A285:A286"/>
    <mergeCell ref="B285:B286"/>
    <mergeCell ref="D290:D291"/>
    <mergeCell ref="E290:E291"/>
    <mergeCell ref="F290:F291"/>
    <mergeCell ref="A287:A288"/>
    <mergeCell ref="B287:B288"/>
    <mergeCell ref="D287:D288"/>
    <mergeCell ref="E287:E288"/>
    <mergeCell ref="F283:F284"/>
    <mergeCell ref="D285:D286"/>
    <mergeCell ref="E285:E286"/>
    <mergeCell ref="F285:F286"/>
    <mergeCell ref="A283:A284"/>
    <mergeCell ref="B283:B284"/>
    <mergeCell ref="D283:D284"/>
    <mergeCell ref="E283:E284"/>
    <mergeCell ref="F276:F277"/>
    <mergeCell ref="A274:A275"/>
    <mergeCell ref="A280:A281"/>
    <mergeCell ref="B280:B281"/>
    <mergeCell ref="D280:D281"/>
    <mergeCell ref="E280:E281"/>
    <mergeCell ref="F280:F281"/>
    <mergeCell ref="A276:A277"/>
    <mergeCell ref="B276:B277"/>
    <mergeCell ref="D276:D277"/>
    <mergeCell ref="E276:E277"/>
    <mergeCell ref="F278:F279"/>
    <mergeCell ref="A272:A273"/>
    <mergeCell ref="B272:B273"/>
    <mergeCell ref="D272:D273"/>
    <mergeCell ref="E272:E273"/>
    <mergeCell ref="F272:F273"/>
    <mergeCell ref="B274:B275"/>
    <mergeCell ref="D274:D275"/>
    <mergeCell ref="E274:E275"/>
    <mergeCell ref="F274:F275"/>
    <mergeCell ref="A278:A279"/>
    <mergeCell ref="B278:B279"/>
    <mergeCell ref="D278:D279"/>
    <mergeCell ref="E278:E279"/>
    <mergeCell ref="D255:D256"/>
    <mergeCell ref="F257:F258"/>
    <mergeCell ref="A267:A268"/>
    <mergeCell ref="B267:B268"/>
    <mergeCell ref="D267:D268"/>
    <mergeCell ref="E267:E268"/>
    <mergeCell ref="F267:F268"/>
    <mergeCell ref="F269:F270"/>
    <mergeCell ref="A263:A264"/>
    <mergeCell ref="B263:B264"/>
    <mergeCell ref="D263:D264"/>
    <mergeCell ref="E263:E264"/>
    <mergeCell ref="F263:F264"/>
    <mergeCell ref="A269:A270"/>
    <mergeCell ref="B269:B270"/>
    <mergeCell ref="D269:D270"/>
    <mergeCell ref="E269:E270"/>
    <mergeCell ref="F265:F266"/>
    <mergeCell ref="A259:A260"/>
    <mergeCell ref="B259:B260"/>
    <mergeCell ref="A261:A262"/>
    <mergeCell ref="B261:B262"/>
    <mergeCell ref="D261:D262"/>
    <mergeCell ref="D259:D260"/>
    <mergeCell ref="E259:E260"/>
    <mergeCell ref="F259:F260"/>
    <mergeCell ref="A265:A266"/>
    <mergeCell ref="B265:B266"/>
    <mergeCell ref="D265:D266"/>
    <mergeCell ref="E265:E266"/>
    <mergeCell ref="E261:E262"/>
    <mergeCell ref="F261:F262"/>
    <mergeCell ref="A255:A256"/>
    <mergeCell ref="B255:B256"/>
    <mergeCell ref="E255:E256"/>
    <mergeCell ref="F255:F256"/>
    <mergeCell ref="A257:A258"/>
    <mergeCell ref="B257:B258"/>
    <mergeCell ref="D257:D258"/>
    <mergeCell ref="E257:E258"/>
    <mergeCell ref="F251:F252"/>
    <mergeCell ref="A253:A254"/>
    <mergeCell ref="B253:B254"/>
    <mergeCell ref="D253:D254"/>
    <mergeCell ref="E253:E254"/>
    <mergeCell ref="F253:F254"/>
    <mergeCell ref="E247:E248"/>
    <mergeCell ref="D73:D74"/>
    <mergeCell ref="A251:A252"/>
    <mergeCell ref="B251:B252"/>
    <mergeCell ref="D251:D252"/>
    <mergeCell ref="E251:E252"/>
    <mergeCell ref="A111:A112"/>
    <mergeCell ref="B111:B112"/>
    <mergeCell ref="A114:A115"/>
    <mergeCell ref="B114:B115"/>
    <mergeCell ref="A243:A244"/>
    <mergeCell ref="B243:B244"/>
    <mergeCell ref="F247:F248"/>
    <mergeCell ref="D70:D72"/>
    <mergeCell ref="E70:E72"/>
    <mergeCell ref="F70:F72"/>
    <mergeCell ref="E245:E246"/>
    <mergeCell ref="F245:F246"/>
    <mergeCell ref="D243:D244"/>
    <mergeCell ref="E243:E244"/>
    <mergeCell ref="A245:A246"/>
    <mergeCell ref="B245:B246"/>
    <mergeCell ref="D245:D246"/>
    <mergeCell ref="A247:A248"/>
    <mergeCell ref="B247:B248"/>
    <mergeCell ref="D247:D248"/>
    <mergeCell ref="F243:F244"/>
    <mergeCell ref="F241:F242"/>
    <mergeCell ref="B241:B242"/>
    <mergeCell ref="A249:A250"/>
    <mergeCell ref="B249:B250"/>
    <mergeCell ref="D249:D250"/>
    <mergeCell ref="E249:E250"/>
    <mergeCell ref="F249:F250"/>
    <mergeCell ref="E241:E242"/>
    <mergeCell ref="D241:D242"/>
    <mergeCell ref="F237:F238"/>
    <mergeCell ref="A239:A240"/>
    <mergeCell ref="B239:B240"/>
    <mergeCell ref="D239:D240"/>
    <mergeCell ref="E239:E240"/>
    <mergeCell ref="F239:F240"/>
    <mergeCell ref="A237:A238"/>
    <mergeCell ref="B237:B238"/>
    <mergeCell ref="D237:D238"/>
    <mergeCell ref="E237:E238"/>
    <mergeCell ref="A232:A233"/>
    <mergeCell ref="B232:B233"/>
    <mergeCell ref="F232:F233"/>
    <mergeCell ref="A235:A236"/>
    <mergeCell ref="B235:B236"/>
    <mergeCell ref="F230:F231"/>
    <mergeCell ref="D235:D236"/>
    <mergeCell ref="E235:E236"/>
    <mergeCell ref="F235:F236"/>
    <mergeCell ref="A230:A231"/>
    <mergeCell ref="B230:B231"/>
    <mergeCell ref="D230:D231"/>
    <mergeCell ref="E230:E231"/>
    <mergeCell ref="F226:F227"/>
    <mergeCell ref="A228:A229"/>
    <mergeCell ref="B228:B229"/>
    <mergeCell ref="D228:D229"/>
    <mergeCell ref="E228:E229"/>
    <mergeCell ref="F228:F229"/>
    <mergeCell ref="A226:A227"/>
    <mergeCell ref="B226:B227"/>
    <mergeCell ref="D226:D227"/>
    <mergeCell ref="E226:E227"/>
    <mergeCell ref="F222:F223"/>
    <mergeCell ref="A224:A225"/>
    <mergeCell ref="B224:B225"/>
    <mergeCell ref="D224:D225"/>
    <mergeCell ref="E224:E225"/>
    <mergeCell ref="F224:F225"/>
    <mergeCell ref="A222:A223"/>
    <mergeCell ref="B222:B223"/>
    <mergeCell ref="D222:D223"/>
    <mergeCell ref="E222:E223"/>
    <mergeCell ref="F218:F219"/>
    <mergeCell ref="A220:A221"/>
    <mergeCell ref="B220:B221"/>
    <mergeCell ref="D220:D221"/>
    <mergeCell ref="E220:E221"/>
    <mergeCell ref="F220:F221"/>
    <mergeCell ref="A218:A219"/>
    <mergeCell ref="B218:B219"/>
    <mergeCell ref="D218:D219"/>
    <mergeCell ref="E218:E219"/>
    <mergeCell ref="F214:F215"/>
    <mergeCell ref="A216:A217"/>
    <mergeCell ref="B216:B217"/>
    <mergeCell ref="D216:D217"/>
    <mergeCell ref="E216:E217"/>
    <mergeCell ref="F216:F217"/>
    <mergeCell ref="A214:A215"/>
    <mergeCell ref="B214:B215"/>
    <mergeCell ref="D214:D215"/>
    <mergeCell ref="E214:E215"/>
    <mergeCell ref="F210:F211"/>
    <mergeCell ref="A212:A213"/>
    <mergeCell ref="B212:B213"/>
    <mergeCell ref="D212:D213"/>
    <mergeCell ref="E212:E213"/>
    <mergeCell ref="F212:F213"/>
    <mergeCell ref="A210:A211"/>
    <mergeCell ref="B210:B211"/>
    <mergeCell ref="D210:D211"/>
    <mergeCell ref="E210:E211"/>
    <mergeCell ref="F206:F207"/>
    <mergeCell ref="A208:A209"/>
    <mergeCell ref="B208:B209"/>
    <mergeCell ref="D208:D209"/>
    <mergeCell ref="E208:E209"/>
    <mergeCell ref="F208:F209"/>
    <mergeCell ref="A206:A207"/>
    <mergeCell ref="B206:B207"/>
    <mergeCell ref="D206:D207"/>
    <mergeCell ref="E206:E207"/>
    <mergeCell ref="F202:F203"/>
    <mergeCell ref="A204:A205"/>
    <mergeCell ref="B204:B205"/>
    <mergeCell ref="D204:D205"/>
    <mergeCell ref="E204:E205"/>
    <mergeCell ref="F204:F205"/>
    <mergeCell ref="A202:A203"/>
    <mergeCell ref="B202:B203"/>
    <mergeCell ref="D202:D203"/>
    <mergeCell ref="E202:E203"/>
    <mergeCell ref="F198:F199"/>
    <mergeCell ref="A200:A201"/>
    <mergeCell ref="B200:B201"/>
    <mergeCell ref="D200:D201"/>
    <mergeCell ref="E200:E201"/>
    <mergeCell ref="F200:F201"/>
    <mergeCell ref="A198:A199"/>
    <mergeCell ref="B198:B199"/>
    <mergeCell ref="D198:D199"/>
    <mergeCell ref="E198:E199"/>
    <mergeCell ref="F194:F195"/>
    <mergeCell ref="A196:A197"/>
    <mergeCell ref="B196:B197"/>
    <mergeCell ref="D196:D197"/>
    <mergeCell ref="E196:E197"/>
    <mergeCell ref="F196:F197"/>
    <mergeCell ref="A194:A195"/>
    <mergeCell ref="B194:B195"/>
    <mergeCell ref="D194:D195"/>
    <mergeCell ref="E194:E195"/>
    <mergeCell ref="F190:F191"/>
    <mergeCell ref="A192:A193"/>
    <mergeCell ref="B192:B193"/>
    <mergeCell ref="D192:D193"/>
    <mergeCell ref="E192:E193"/>
    <mergeCell ref="F192:F193"/>
    <mergeCell ref="A190:A191"/>
    <mergeCell ref="B190:B191"/>
    <mergeCell ref="D190:D191"/>
    <mergeCell ref="E190:E191"/>
    <mergeCell ref="F186:F187"/>
    <mergeCell ref="A188:A189"/>
    <mergeCell ref="B188:B189"/>
    <mergeCell ref="D188:D189"/>
    <mergeCell ref="E188:E189"/>
    <mergeCell ref="F188:F189"/>
    <mergeCell ref="A186:A187"/>
    <mergeCell ref="B186:B187"/>
    <mergeCell ref="D186:D187"/>
    <mergeCell ref="E186:E187"/>
    <mergeCell ref="F182:F183"/>
    <mergeCell ref="A184:A185"/>
    <mergeCell ref="B184:B185"/>
    <mergeCell ref="D184:D185"/>
    <mergeCell ref="E184:E185"/>
    <mergeCell ref="F184:F185"/>
    <mergeCell ref="A182:A183"/>
    <mergeCell ref="B182:B183"/>
    <mergeCell ref="D182:D183"/>
    <mergeCell ref="E182:E183"/>
    <mergeCell ref="F178:F179"/>
    <mergeCell ref="A180:A181"/>
    <mergeCell ref="B180:B181"/>
    <mergeCell ref="D180:D181"/>
    <mergeCell ref="E180:E181"/>
    <mergeCell ref="F180:F181"/>
    <mergeCell ref="A178:A179"/>
    <mergeCell ref="B178:B179"/>
    <mergeCell ref="D178:D179"/>
    <mergeCell ref="E178:E179"/>
    <mergeCell ref="F174:F175"/>
    <mergeCell ref="A176:A177"/>
    <mergeCell ref="B176:B177"/>
    <mergeCell ref="D176:D177"/>
    <mergeCell ref="E176:E177"/>
    <mergeCell ref="F176:F177"/>
    <mergeCell ref="A174:A175"/>
    <mergeCell ref="B174:B175"/>
    <mergeCell ref="D174:D175"/>
    <mergeCell ref="E174:E175"/>
    <mergeCell ref="F170:F171"/>
    <mergeCell ref="A172:A173"/>
    <mergeCell ref="B172:B173"/>
    <mergeCell ref="D172:D173"/>
    <mergeCell ref="E172:E173"/>
    <mergeCell ref="F172:F173"/>
    <mergeCell ref="A170:A171"/>
    <mergeCell ref="B170:B171"/>
    <mergeCell ref="D170:D171"/>
    <mergeCell ref="E170:E171"/>
    <mergeCell ref="F166:F167"/>
    <mergeCell ref="A168:A169"/>
    <mergeCell ref="B168:B169"/>
    <mergeCell ref="D168:D169"/>
    <mergeCell ref="E168:E169"/>
    <mergeCell ref="F168:F169"/>
    <mergeCell ref="A166:A167"/>
    <mergeCell ref="B166:B167"/>
    <mergeCell ref="D166:D167"/>
    <mergeCell ref="E166:E167"/>
    <mergeCell ref="F162:F163"/>
    <mergeCell ref="A164:A165"/>
    <mergeCell ref="B164:B165"/>
    <mergeCell ref="D164:D165"/>
    <mergeCell ref="E164:E165"/>
    <mergeCell ref="F164:F165"/>
    <mergeCell ref="A162:A163"/>
    <mergeCell ref="B162:B163"/>
    <mergeCell ref="D162:D163"/>
    <mergeCell ref="E162:E163"/>
    <mergeCell ref="F158:F159"/>
    <mergeCell ref="A160:A161"/>
    <mergeCell ref="B160:B161"/>
    <mergeCell ref="D160:D161"/>
    <mergeCell ref="E160:E161"/>
    <mergeCell ref="F160:F161"/>
    <mergeCell ref="A158:A159"/>
    <mergeCell ref="B158:B159"/>
    <mergeCell ref="D158:D159"/>
    <mergeCell ref="E158:E159"/>
    <mergeCell ref="F154:F155"/>
    <mergeCell ref="A156:A157"/>
    <mergeCell ref="B156:B157"/>
    <mergeCell ref="D156:D157"/>
    <mergeCell ref="E156:E157"/>
    <mergeCell ref="F156:F157"/>
    <mergeCell ref="A154:A155"/>
    <mergeCell ref="B154:B155"/>
    <mergeCell ref="D154:D155"/>
    <mergeCell ref="E154:E155"/>
    <mergeCell ref="F150:F151"/>
    <mergeCell ref="A152:A153"/>
    <mergeCell ref="B152:B153"/>
    <mergeCell ref="D152:D153"/>
    <mergeCell ref="E152:E153"/>
    <mergeCell ref="F152:F153"/>
    <mergeCell ref="A150:A151"/>
    <mergeCell ref="B150:B151"/>
    <mergeCell ref="D150:D151"/>
    <mergeCell ref="E150:E151"/>
    <mergeCell ref="F146:F147"/>
    <mergeCell ref="A148:A149"/>
    <mergeCell ref="B148:B149"/>
    <mergeCell ref="D148:D149"/>
    <mergeCell ref="E148:E149"/>
    <mergeCell ref="F148:F149"/>
    <mergeCell ref="A146:A147"/>
    <mergeCell ref="B146:B147"/>
    <mergeCell ref="D146:D147"/>
    <mergeCell ref="E146:E147"/>
    <mergeCell ref="F142:F143"/>
    <mergeCell ref="A144:A145"/>
    <mergeCell ref="B144:B145"/>
    <mergeCell ref="D144:D145"/>
    <mergeCell ref="E144:E145"/>
    <mergeCell ref="F144:F145"/>
    <mergeCell ref="A142:A143"/>
    <mergeCell ref="B142:B143"/>
    <mergeCell ref="D142:D143"/>
    <mergeCell ref="E142:E143"/>
    <mergeCell ref="F138:F139"/>
    <mergeCell ref="A140:A141"/>
    <mergeCell ref="B140:B141"/>
    <mergeCell ref="D140:D141"/>
    <mergeCell ref="E140:E141"/>
    <mergeCell ref="F140:F141"/>
    <mergeCell ref="A138:A139"/>
    <mergeCell ref="B138:B139"/>
    <mergeCell ref="D138:D139"/>
    <mergeCell ref="E138:E139"/>
    <mergeCell ref="F134:F135"/>
    <mergeCell ref="A136:A137"/>
    <mergeCell ref="B136:B137"/>
    <mergeCell ref="D136:D137"/>
    <mergeCell ref="E136:E137"/>
    <mergeCell ref="F136:F137"/>
    <mergeCell ref="A134:A135"/>
    <mergeCell ref="B134:B135"/>
    <mergeCell ref="D134:D135"/>
    <mergeCell ref="E134:E135"/>
    <mergeCell ref="F127:F128"/>
    <mergeCell ref="A125:A126"/>
    <mergeCell ref="A131:A132"/>
    <mergeCell ref="B131:B132"/>
    <mergeCell ref="F131:F132"/>
    <mergeCell ref="D131:D132"/>
    <mergeCell ref="E131:E132"/>
    <mergeCell ref="A127:A128"/>
    <mergeCell ref="B127:B128"/>
    <mergeCell ref="D127:D128"/>
    <mergeCell ref="E127:E128"/>
    <mergeCell ref="B125:B126"/>
    <mergeCell ref="D125:D126"/>
    <mergeCell ref="E125:E126"/>
    <mergeCell ref="F125:F126"/>
    <mergeCell ref="F121:F122"/>
    <mergeCell ref="A123:A124"/>
    <mergeCell ref="B123:B124"/>
    <mergeCell ref="D123:D124"/>
    <mergeCell ref="E123:E124"/>
    <mergeCell ref="F123:F124"/>
    <mergeCell ref="E117:E118"/>
    <mergeCell ref="F117:F118"/>
    <mergeCell ref="B100:B101"/>
    <mergeCell ref="A70:A72"/>
    <mergeCell ref="A314:F314"/>
    <mergeCell ref="A11:A12"/>
    <mergeCell ref="B11:B12"/>
    <mergeCell ref="F11:F12"/>
    <mergeCell ref="A83:A84"/>
    <mergeCell ref="D11:D12"/>
    <mergeCell ref="E11:E12"/>
    <mergeCell ref="F81:F82"/>
    <mergeCell ref="A117:A118"/>
    <mergeCell ref="B117:B118"/>
    <mergeCell ref="H100:H101"/>
    <mergeCell ref="H9:H10"/>
    <mergeCell ref="H16:H20"/>
    <mergeCell ref="B83:B84"/>
    <mergeCell ref="D83:D84"/>
    <mergeCell ref="E83:E84"/>
    <mergeCell ref="H31:H34"/>
    <mergeCell ref="H41:H43"/>
    <mergeCell ref="H94:H95"/>
    <mergeCell ref="D44:D46"/>
    <mergeCell ref="E44:E46"/>
    <mergeCell ref="A54:A56"/>
    <mergeCell ref="E54:E56"/>
    <mergeCell ref="G31:G34"/>
    <mergeCell ref="G54:G56"/>
    <mergeCell ref="A3:A7"/>
    <mergeCell ref="F3:F7"/>
    <mergeCell ref="D3:D7"/>
    <mergeCell ref="C3:C7"/>
    <mergeCell ref="B9:B10"/>
    <mergeCell ref="A21:A23"/>
    <mergeCell ref="E41:E43"/>
    <mergeCell ref="D54:D56"/>
    <mergeCell ref="B21:B23"/>
    <mergeCell ref="A27:A28"/>
    <mergeCell ref="D21:D23"/>
    <mergeCell ref="E21:E23"/>
    <mergeCell ref="A24:A26"/>
    <mergeCell ref="B24:B26"/>
    <mergeCell ref="D24:D26"/>
    <mergeCell ref="E24:E26"/>
    <mergeCell ref="A312:I312"/>
    <mergeCell ref="A31:A34"/>
    <mergeCell ref="B27:B28"/>
    <mergeCell ref="G44:G46"/>
    <mergeCell ref="G41:G43"/>
    <mergeCell ref="A29:A30"/>
    <mergeCell ref="E31:E34"/>
    <mergeCell ref="A48:A50"/>
    <mergeCell ref="A41:A43"/>
    <mergeCell ref="D41:D43"/>
    <mergeCell ref="B16:B20"/>
    <mergeCell ref="F16:F20"/>
    <mergeCell ref="A16:A20"/>
    <mergeCell ref="D9:D10"/>
    <mergeCell ref="E16:E20"/>
    <mergeCell ref="D29:D30"/>
    <mergeCell ref="D27:D28"/>
    <mergeCell ref="E27:E28"/>
    <mergeCell ref="A1:I1"/>
    <mergeCell ref="H3:H7"/>
    <mergeCell ref="A2:Y2"/>
    <mergeCell ref="B3:B7"/>
    <mergeCell ref="E9:E10"/>
    <mergeCell ref="D16:D20"/>
    <mergeCell ref="A9:A10"/>
    <mergeCell ref="E3:E7"/>
    <mergeCell ref="G9:G10"/>
    <mergeCell ref="H21:H23"/>
    <mergeCell ref="U3:AE6"/>
    <mergeCell ref="G21:G22"/>
    <mergeCell ref="F21:F23"/>
    <mergeCell ref="T3:T7"/>
    <mergeCell ref="G3:G7"/>
    <mergeCell ref="AA1:AE1"/>
    <mergeCell ref="G16:G20"/>
    <mergeCell ref="F9:F10"/>
    <mergeCell ref="H27:H28"/>
    <mergeCell ref="F27:F28"/>
    <mergeCell ref="G27:G28"/>
    <mergeCell ref="F24:F26"/>
    <mergeCell ref="G24:G26"/>
    <mergeCell ref="F44:F46"/>
    <mergeCell ref="B29:B30"/>
    <mergeCell ref="A44:A46"/>
    <mergeCell ref="F31:F34"/>
    <mergeCell ref="D31:D34"/>
    <mergeCell ref="B41:B43"/>
    <mergeCell ref="B31:B34"/>
    <mergeCell ref="B44:B46"/>
    <mergeCell ref="F41:F43"/>
    <mergeCell ref="E29:E30"/>
    <mergeCell ref="H96:H97"/>
    <mergeCell ref="E94:E95"/>
    <mergeCell ref="D96:D97"/>
    <mergeCell ref="E96:E97"/>
    <mergeCell ref="F94:F95"/>
    <mergeCell ref="G94:G95"/>
    <mergeCell ref="F96:F97"/>
    <mergeCell ref="G96:G97"/>
    <mergeCell ref="D94:D95"/>
    <mergeCell ref="A311:G311"/>
    <mergeCell ref="B94:B95"/>
    <mergeCell ref="A91:A93"/>
    <mergeCell ref="B91:B93"/>
    <mergeCell ref="A94:A95"/>
    <mergeCell ref="A96:A97"/>
    <mergeCell ref="B96:B97"/>
    <mergeCell ref="D91:D93"/>
    <mergeCell ref="E91:E93"/>
    <mergeCell ref="A241:A242"/>
    <mergeCell ref="A100:A101"/>
    <mergeCell ref="D59:D66"/>
    <mergeCell ref="E59:E66"/>
    <mergeCell ref="A121:A122"/>
    <mergeCell ref="B121:B122"/>
    <mergeCell ref="D121:D122"/>
    <mergeCell ref="E121:E122"/>
    <mergeCell ref="A59:A66"/>
    <mergeCell ref="B59:B66"/>
    <mergeCell ref="D117:D118"/>
    <mergeCell ref="A73:A74"/>
    <mergeCell ref="B73:B74"/>
    <mergeCell ref="E73:E74"/>
    <mergeCell ref="F73:F74"/>
    <mergeCell ref="A51:A53"/>
    <mergeCell ref="D48:D50"/>
    <mergeCell ref="E48:E50"/>
    <mergeCell ref="B70:B72"/>
    <mergeCell ref="B48:B50"/>
    <mergeCell ref="G48:G50"/>
    <mergeCell ref="H70:H71"/>
    <mergeCell ref="F48:F50"/>
    <mergeCell ref="H51:H53"/>
    <mergeCell ref="F59:F66"/>
    <mergeCell ref="H59:H66"/>
    <mergeCell ref="G59:G66"/>
    <mergeCell ref="F54:F56"/>
    <mergeCell ref="H54:H56"/>
    <mergeCell ref="H91:H93"/>
    <mergeCell ref="F91:F93"/>
    <mergeCell ref="A75:A80"/>
    <mergeCell ref="G70:G71"/>
    <mergeCell ref="B75:B80"/>
    <mergeCell ref="D75:D80"/>
    <mergeCell ref="E75:E80"/>
    <mergeCell ref="G91:G93"/>
    <mergeCell ref="H77:H79"/>
    <mergeCell ref="F83:F84"/>
    <mergeCell ref="I3:S6"/>
    <mergeCell ref="A81:A82"/>
    <mergeCell ref="B81:B82"/>
    <mergeCell ref="D81:D82"/>
    <mergeCell ref="E81:E82"/>
    <mergeCell ref="G51:G53"/>
    <mergeCell ref="H48:H50"/>
    <mergeCell ref="H44:H46"/>
    <mergeCell ref="F75:F80"/>
    <mergeCell ref="G77:G79"/>
    <mergeCell ref="H24:H26"/>
    <mergeCell ref="A103:A105"/>
    <mergeCell ref="B103:B105"/>
    <mergeCell ref="D103:D105"/>
    <mergeCell ref="E103:E105"/>
    <mergeCell ref="B54:B56"/>
    <mergeCell ref="B51:B53"/>
    <mergeCell ref="D51:D53"/>
    <mergeCell ref="E51:E53"/>
    <mergeCell ref="F51:F53"/>
  </mergeCells>
  <printOptions/>
  <pageMargins left="0.1968503937007874" right="0.1968503937007874" top="0.1968503937007874" bottom="0.15748031496062992" header="0.1968503937007874" footer="0.15748031496062992"/>
  <pageSetup fitToHeight="0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2020-11-05T04:03:04Z</cp:lastPrinted>
  <dcterms:created xsi:type="dcterms:W3CDTF">1996-10-08T23:32:33Z</dcterms:created>
  <dcterms:modified xsi:type="dcterms:W3CDTF">2020-11-05T04:04:56Z</dcterms:modified>
  <cp:category/>
  <cp:version/>
  <cp:contentType/>
  <cp:contentStatus/>
</cp:coreProperties>
</file>