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2" yWindow="65500" windowWidth="19512" windowHeight="8796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1'!$A$1:$S$877</definedName>
  </definedNames>
  <calcPr fullCalcOnLoad="1"/>
</workbook>
</file>

<file path=xl/sharedStrings.xml><?xml version="1.0" encoding="utf-8"?>
<sst xmlns="http://schemas.openxmlformats.org/spreadsheetml/2006/main" count="2001" uniqueCount="177">
  <si>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</si>
  <si>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</si>
  <si>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</si>
  <si>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</si>
  <si>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</si>
  <si>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</si>
  <si>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</si>
  <si>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</si>
  <si>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</si>
  <si>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</si>
  <si>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</si>
  <si>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</si>
  <si>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</si>
  <si>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</si>
  <si>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</si>
  <si>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</si>
  <si>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</si>
  <si>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</si>
  <si>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</si>
  <si>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</si>
  <si>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</si>
  <si>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</si>
  <si>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</si>
  <si>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</si>
  <si>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</si>
  <si>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</si>
  <si>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</si>
  <si>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</si>
  <si>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</si>
  <si>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</si>
  <si>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</si>
  <si>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</si>
  <si>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</si>
  <si>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</si>
  <si>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</si>
  <si>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</si>
  <si>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</si>
  <si>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</si>
  <si>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</si>
  <si>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</si>
  <si>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</si>
  <si>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</si>
  <si>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</si>
  <si>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</si>
  <si>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</si>
  <si>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</si>
  <si>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</si>
  <si>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</si>
  <si>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</si>
  <si>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</si>
  <si>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</si>
  <si>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</si>
  <si>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</si>
  <si>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</si>
  <si>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</si>
  <si>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</si>
  <si>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</si>
  <si>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</si>
  <si>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</si>
  <si>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</si>
  <si>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</si>
  <si>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</si>
  <si>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</si>
  <si>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</si>
  <si>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</si>
  <si>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</si>
  <si>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</si>
  <si>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</si>
  <si>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</si>
  <si>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</si>
  <si>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</si>
  <si>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</si>
  <si>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</si>
  <si>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</si>
  <si>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</si>
  <si>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</si>
  <si>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</si>
  <si>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</si>
  <si>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</si>
  <si>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</si>
  <si>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</si>
  <si>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</si>
  <si>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</si>
  <si>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</si>
  <si>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</si>
  <si>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</si>
  <si>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</si>
  <si>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</si>
  <si>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</si>
  <si>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</si>
  <si>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</si>
  <si>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</si>
  <si>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</si>
  <si>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</si>
  <si>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</si>
  <si>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</si>
  <si>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</si>
  <si>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</si>
  <si>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</si>
  <si>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</si>
  <si>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</si>
  <si>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</si>
  <si>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</si>
  <si>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</si>
  <si>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</si>
  <si>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</si>
  <si>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</si>
  <si>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</si>
  <si>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</si>
  <si>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</si>
  <si>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</si>
  <si>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</si>
  <si>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</si>
  <si>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</si>
  <si>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</si>
  <si>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</si>
  <si>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</si>
  <si>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</si>
  <si>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</si>
  <si>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</si>
  <si>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</si>
  <si>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</si>
  <si>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</si>
  <si>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</si>
  <si>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</si>
  <si>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</si>
  <si>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</si>
  <si>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</si>
  <si>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</si>
  <si>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</si>
  <si>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</si>
  <si>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</si>
  <si>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</si>
  <si>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</si>
  <si>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</si>
  <si>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</si>
  <si>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</si>
  <si>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</si>
  <si>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</si>
  <si>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</si>
  <si>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</si>
  <si>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</si>
  <si>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</si>
  <si>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</si>
  <si>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</si>
  <si>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</si>
  <si>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</si>
  <si>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</si>
  <si>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</si>
  <si>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</si>
  <si>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</si>
  <si>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</si>
  <si>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</si>
  <si>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</si>
  <si>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</si>
  <si>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</si>
  <si>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</si>
  <si>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</si>
  <si>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>дгх</t>
  </si>
  <si>
    <t>изс</t>
  </si>
  <si>
    <t>ддд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</si>
  <si>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</si>
  <si>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</si>
  <si>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</si>
  <si>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</si>
  <si>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=I53+I65+I137+I161+I270+I294+I306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</si>
  <si>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</si>
  <si>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</si>
  <si>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</si>
  <si>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</si>
  <si>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</si>
  <si>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</si>
  <si>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</si>
  <si>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</si>
  <si>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 xml:space="preserve">Текущий ремонт участков тепловой сети, водопроводной и канализационной сети </t>
  </si>
  <si>
    <t>Разработка проектно-сметной докумеентации на кап.ремонт скважин в пос.Апрель</t>
  </si>
  <si>
    <t>0810120400/247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</si>
</sst>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165" fontId="2" fillId="33" borderId="0" xfId="0" applyNumberFormat="1" applyFont="1" applyFill="1" applyAlignment="1">
      <alignment/>
    </xf>
    <xf numFmtId="165" fontId="2" fillId="33" borderId="15" xfId="0" applyNumberFormat="1" applyFont="1" applyFill="1" applyBorder="1" applyAlignment="1" applyProtection="1">
      <alignment horizontal="right" vertical="center" wrapText="1"/>
      <protection/>
    </xf>
    <xf numFmtId="164" fontId="2" fillId="33" borderId="16" xfId="0" applyNumberFormat="1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wrapText="1"/>
    </xf>
    <xf numFmtId="4" fontId="2" fillId="3" borderId="12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4" fontId="2" fillId="10" borderId="13" xfId="0" applyNumberFormat="1" applyFont="1" applyFill="1" applyBorder="1" applyAlignment="1">
      <alignment horizontal="center" vertical="center" wrapText="1"/>
    </xf>
    <xf numFmtId="4" fontId="2" fillId="10" borderId="18" xfId="0" applyNumberFormat="1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vertical="center" wrapText="1"/>
    </xf>
    <xf numFmtId="164" fontId="2" fillId="10" borderId="10" xfId="0" applyNumberFormat="1" applyFont="1" applyFill="1" applyBorder="1" applyAlignment="1">
      <alignment wrapText="1"/>
    </xf>
    <xf numFmtId="4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3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Alignment="1">
      <alignment/>
    </xf>
    <xf numFmtId="4" fontId="2" fillId="5" borderId="12" xfId="0" applyNumberFormat="1" applyFont="1" applyFill="1" applyBorder="1" applyAlignment="1">
      <alignment vertical="center" wrapText="1"/>
    </xf>
    <xf numFmtId="4" fontId="2" fillId="5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47" fillId="3" borderId="12" xfId="0" applyNumberFormat="1" applyFont="1" applyFill="1" applyBorder="1" applyAlignment="1">
      <alignment vertical="center" wrapText="1"/>
    </xf>
    <xf numFmtId="164" fontId="47" fillId="3" borderId="10" xfId="0" applyNumberFormat="1" applyFont="1" applyFill="1" applyBorder="1" applyAlignment="1">
      <alignment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7" fillId="15" borderId="12" xfId="0" applyNumberFormat="1" applyFont="1" applyFill="1" applyBorder="1" applyAlignment="1">
      <alignment vertical="center" wrapText="1"/>
    </xf>
    <xf numFmtId="164" fontId="47" fillId="15" borderId="10" xfId="0" applyNumberFormat="1" applyFont="1" applyFill="1" applyBorder="1" applyAlignment="1">
      <alignment wrapText="1"/>
    </xf>
    <xf numFmtId="0" fontId="2" fillId="15" borderId="10" xfId="0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vertical="center" wrapText="1"/>
    </xf>
    <xf numFmtId="164" fontId="2" fillId="15" borderId="10" xfId="0" applyNumberFormat="1" applyFont="1" applyFill="1" applyBorder="1" applyAlignment="1">
      <alignment wrapText="1"/>
    </xf>
    <xf numFmtId="4" fontId="2" fillId="15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left" vertical="center" wrapText="1"/>
    </xf>
    <xf numFmtId="4" fontId="5" fillId="3" borderId="11" xfId="0" applyNumberFormat="1" applyFont="1" applyFill="1" applyBorder="1" applyAlignment="1">
      <alignment horizontal="left" vertical="center" wrapText="1"/>
    </xf>
    <xf numFmtId="4" fontId="5" fillId="3" borderId="12" xfId="0" applyNumberFormat="1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4" fontId="2" fillId="10" borderId="13" xfId="0" applyNumberFormat="1" applyFont="1" applyFill="1" applyBorder="1" applyAlignment="1">
      <alignment horizontal="center" vertical="center" wrapText="1"/>
    </xf>
    <xf numFmtId="4" fontId="2" fillId="10" borderId="18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10" borderId="24" xfId="0" applyNumberFormat="1" applyFont="1" applyFill="1" applyBorder="1" applyAlignment="1">
      <alignment horizontal="center" vertical="center" wrapText="1"/>
    </xf>
    <xf numFmtId="4" fontId="2" fillId="10" borderId="25" xfId="0" applyNumberFormat="1" applyFont="1" applyFill="1" applyBorder="1" applyAlignment="1">
      <alignment horizontal="center" vertical="center" wrapText="1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10" borderId="26" xfId="0" applyNumberFormat="1" applyFont="1" applyFill="1" applyBorder="1" applyAlignment="1">
      <alignment horizontal="center" vertical="center" wrapText="1"/>
    </xf>
    <xf numFmtId="4" fontId="2" fillId="10" borderId="27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4" fontId="2" fillId="5" borderId="25" xfId="0" applyNumberFormat="1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vertical="center" wrapText="1"/>
    </xf>
    <xf numFmtId="4" fontId="2" fillId="5" borderId="26" xfId="0" applyNumberFormat="1" applyFont="1" applyFill="1" applyBorder="1" applyAlignment="1">
      <alignment horizontal="center" vertical="center" wrapText="1"/>
    </xf>
    <xf numFmtId="4" fontId="2" fillId="5" borderId="27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26" xfId="0" applyNumberFormat="1" applyFont="1" applyFill="1" applyBorder="1" applyAlignment="1">
      <alignment horizontal="center" wrapText="1"/>
    </xf>
    <xf numFmtId="4" fontId="2" fillId="33" borderId="22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22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03"/>
  <sheetViews>
    <sheetView tabSelected="1" view="pageBreakPreview" zoomScaleSheetLayoutView="100" zoomScalePageLayoutView="0" workbookViewId="0" topLeftCell="A1">
      <selection activeCell="K330" sqref="K330"/>
    </sheetView>
  </sheetViews>
  <sheetFormatPr defaultColWidth="12.00390625" defaultRowHeight="12.75"/>
  <cols>
    <col min="1" max="1" width="8.50390625" style="1" customWidth="1"/>
    <col min="2" max="4" width="15.125" style="2" customWidth="1"/>
    <col min="5" max="5" width="17.50390625" style="2" customWidth="1"/>
    <col min="6" max="6" width="14.125" style="2" hidden="1" customWidth="1"/>
    <col min="7" max="7" width="12.00390625" style="2" customWidth="1"/>
    <col min="8" max="11" width="15.375" style="2" bestFit="1" customWidth="1"/>
    <col min="12" max="13" width="12.50390625" style="2" bestFit="1" customWidth="1"/>
    <col min="14" max="15" width="13.00390625" style="2" bestFit="1" customWidth="1"/>
    <col min="16" max="17" width="12.50390625" style="2" bestFit="1" customWidth="1"/>
    <col min="18" max="26" width="12.00390625" style="2" customWidth="1"/>
    <col min="27" max="27" width="13.50390625" style="2" bestFit="1" customWidth="1"/>
    <col min="28" max="28" width="12.00390625" style="2" customWidth="1"/>
    <col min="29" max="29" width="12.625" style="2" bestFit="1" customWidth="1"/>
    <col min="30" max="30" width="13.50390625" style="2" bestFit="1" customWidth="1"/>
    <col min="31" max="31" width="0.37109375" style="2" customWidth="1"/>
    <col min="32" max="32" width="13.375" style="2" hidden="1" customWidth="1"/>
    <col min="33" max="33" width="14.50390625" style="2" bestFit="1" customWidth="1"/>
    <col min="34" max="35" width="14.50390625" style="2" customWidth="1"/>
    <col min="36" max="16384" width="12.00390625" style="2" customWidth="1"/>
  </cols>
  <sheetData>
    <row r="1" spans="14:19" ht="12.75">
      <c r="N1" s="196" t="s">
        <v>129</v>
      </c>
      <c r="O1" s="196"/>
      <c r="P1" s="196"/>
      <c r="Q1" s="196"/>
      <c r="R1" s="196"/>
      <c r="S1" s="196"/>
    </row>
    <row r="2" spans="14:23" ht="32.25" customHeight="1">
      <c r="N2" s="196"/>
      <c r="O2" s="196"/>
      <c r="P2" s="196"/>
      <c r="Q2" s="196"/>
      <c r="R2" s="196"/>
      <c r="S2" s="196"/>
      <c r="V2" s="2">
        <f>5233.6+56765.1+50212.7+93050.8</f>
        <v>205262.2</v>
      </c>
      <c r="W2" s="2">
        <f>50212.7+92426.3</f>
        <v>142639</v>
      </c>
    </row>
    <row r="3" spans="1:22" ht="44.25" customHeight="1" thickBot="1">
      <c r="A3" s="197" t="s">
        <v>133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">
        <f>1023.1+50725.2+7599.8+4829.9+36356</f>
        <v>100534</v>
      </c>
      <c r="U3" s="2">
        <f>1119.2+57236.2+3443.9+31251.5</f>
        <v>93050.79999999999</v>
      </c>
      <c r="V3" s="2">
        <f>16828.1+468+32916.6</f>
        <v>50212.7</v>
      </c>
    </row>
    <row r="4" spans="1:22" ht="12.75">
      <c r="A4" s="163" t="s">
        <v>170</v>
      </c>
      <c r="B4" s="198" t="s">
        <v>128</v>
      </c>
      <c r="C4" s="141" t="s">
        <v>161</v>
      </c>
      <c r="D4" s="141" t="s">
        <v>162</v>
      </c>
      <c r="E4" s="199" t="s">
        <v>49</v>
      </c>
      <c r="F4" s="193" t="s">
        <v>16</v>
      </c>
      <c r="G4" s="198" t="s">
        <v>0</v>
      </c>
      <c r="H4" s="181" t="s">
        <v>1</v>
      </c>
      <c r="I4" s="182"/>
      <c r="J4" s="202" t="s">
        <v>2</v>
      </c>
      <c r="K4" s="203"/>
      <c r="L4" s="203"/>
      <c r="M4" s="203"/>
      <c r="N4" s="203"/>
      <c r="O4" s="203"/>
      <c r="P4" s="203"/>
      <c r="Q4" s="204"/>
      <c r="R4" s="181" t="s">
        <v>168</v>
      </c>
      <c r="S4" s="182"/>
      <c r="U4" s="2">
        <f>1119.2+57236.2+3443.9+30627</f>
        <v>92426.29999999999</v>
      </c>
      <c r="V4" s="2">
        <f>16828.1+468+32916.6</f>
        <v>50212.7</v>
      </c>
    </row>
    <row r="5" spans="1:19" ht="12.75">
      <c r="A5" s="164"/>
      <c r="B5" s="198"/>
      <c r="C5" s="142"/>
      <c r="D5" s="142"/>
      <c r="E5" s="200"/>
      <c r="F5" s="194"/>
      <c r="G5" s="198"/>
      <c r="H5" s="185"/>
      <c r="I5" s="186"/>
      <c r="J5" s="198" t="s">
        <v>3</v>
      </c>
      <c r="K5" s="198"/>
      <c r="L5" s="198" t="s">
        <v>4</v>
      </c>
      <c r="M5" s="198"/>
      <c r="N5" s="198" t="s">
        <v>5</v>
      </c>
      <c r="O5" s="198"/>
      <c r="P5" s="198" t="s">
        <v>6</v>
      </c>
      <c r="Q5" s="198"/>
      <c r="R5" s="183"/>
      <c r="S5" s="184"/>
    </row>
    <row r="6" spans="1:30" ht="85.5" customHeight="1">
      <c r="A6" s="165"/>
      <c r="B6" s="198"/>
      <c r="C6" s="143"/>
      <c r="D6" s="143"/>
      <c r="E6" s="201"/>
      <c r="F6" s="195"/>
      <c r="G6" s="198"/>
      <c r="H6" s="63" t="s">
        <v>42</v>
      </c>
      <c r="I6" s="63" t="s">
        <v>8</v>
      </c>
      <c r="J6" s="63" t="s">
        <v>7</v>
      </c>
      <c r="K6" s="63" t="s">
        <v>8</v>
      </c>
      <c r="L6" s="63" t="s">
        <v>7</v>
      </c>
      <c r="M6" s="63" t="s">
        <v>8</v>
      </c>
      <c r="N6" s="63" t="s">
        <v>7</v>
      </c>
      <c r="O6" s="63" t="s">
        <v>8</v>
      </c>
      <c r="P6" s="63" t="s">
        <v>7</v>
      </c>
      <c r="Q6" s="63" t="s">
        <v>52</v>
      </c>
      <c r="R6" s="185"/>
      <c r="S6" s="186"/>
      <c r="U6" s="64" t="s">
        <v>158</v>
      </c>
      <c r="V6" s="64" t="s">
        <v>159</v>
      </c>
      <c r="W6" s="64" t="s">
        <v>160</v>
      </c>
      <c r="X6" s="64"/>
      <c r="Y6" s="64"/>
      <c r="Z6" s="64"/>
      <c r="AA6" s="64"/>
      <c r="AB6" s="64"/>
      <c r="AC6" s="64"/>
      <c r="AD6" s="64"/>
    </row>
    <row r="7" spans="1:30" ht="13.5" customHeight="1">
      <c r="A7" s="101">
        <v>1</v>
      </c>
      <c r="B7" s="55">
        <v>2</v>
      </c>
      <c r="C7" s="103">
        <v>3</v>
      </c>
      <c r="D7" s="103">
        <v>4</v>
      </c>
      <c r="E7" s="55">
        <v>5</v>
      </c>
      <c r="F7" s="55"/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202">
        <v>17</v>
      </c>
      <c r="S7" s="20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 ht="15">
      <c r="A8" s="187" t="s">
        <v>132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9"/>
      <c r="T8" s="2">
        <v>21</v>
      </c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12.75" customHeight="1">
      <c r="A9" s="169" t="s">
        <v>53</v>
      </c>
      <c r="B9" s="170"/>
      <c r="C9" s="170"/>
      <c r="D9" s="170"/>
      <c r="E9" s="170"/>
      <c r="F9" s="3"/>
      <c r="G9" s="4" t="s">
        <v>9</v>
      </c>
      <c r="H9" s="5">
        <f>H10+H11+H12+H13+H14+H15+H16+H17+H18+H19+H20</f>
        <v>1656803.8370000003</v>
      </c>
      <c r="I9" s="5">
        <f aca="true" t="shared" si="0" ref="I9:Q9">I10+I11+I12+I13+I14+I15+I16+I17+I18+I19+I20</f>
        <v>636376.13693</v>
      </c>
      <c r="J9" s="5">
        <f t="shared" si="0"/>
        <v>1638904.037</v>
      </c>
      <c r="K9" s="5">
        <f t="shared" si="0"/>
        <v>618999.2670000001</v>
      </c>
      <c r="L9" s="5">
        <f t="shared" si="0"/>
        <v>0</v>
      </c>
      <c r="M9" s="5">
        <f t="shared" si="0"/>
        <v>0</v>
      </c>
      <c r="N9" s="5">
        <f t="shared" si="0"/>
        <v>17899.8</v>
      </c>
      <c r="O9" s="5">
        <f t="shared" si="0"/>
        <v>17376.8</v>
      </c>
      <c r="P9" s="5">
        <f t="shared" si="0"/>
        <v>0</v>
      </c>
      <c r="Q9" s="5">
        <f t="shared" si="0"/>
        <v>0</v>
      </c>
      <c r="R9" s="175"/>
      <c r="S9" s="176"/>
      <c r="T9" s="2">
        <v>22</v>
      </c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12.75" customHeight="1">
      <c r="A10" s="171"/>
      <c r="B10" s="172"/>
      <c r="C10" s="172"/>
      <c r="D10" s="172"/>
      <c r="E10" s="172"/>
      <c r="F10" s="3"/>
      <c r="G10" s="57" t="s">
        <v>13</v>
      </c>
      <c r="H10" s="5">
        <f aca="true" t="shared" si="1" ref="H10:Q15">H866</f>
        <v>118075</v>
      </c>
      <c r="I10" s="5">
        <f t="shared" si="1"/>
        <v>43029.3</v>
      </c>
      <c r="J10" s="5">
        <f t="shared" si="1"/>
        <v>112606.6</v>
      </c>
      <c r="K10" s="5">
        <f t="shared" si="1"/>
        <v>37560.899999999994</v>
      </c>
      <c r="L10" s="5">
        <f t="shared" si="1"/>
        <v>0</v>
      </c>
      <c r="M10" s="5">
        <f t="shared" si="1"/>
        <v>0</v>
      </c>
      <c r="N10" s="5">
        <f t="shared" si="1"/>
        <v>5468.4</v>
      </c>
      <c r="O10" s="5">
        <f t="shared" si="1"/>
        <v>5468.4</v>
      </c>
      <c r="P10" s="5">
        <f t="shared" si="1"/>
        <v>0</v>
      </c>
      <c r="Q10" s="5">
        <f t="shared" si="1"/>
        <v>0</v>
      </c>
      <c r="R10" s="177"/>
      <c r="S10" s="178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12.75" customHeight="1">
      <c r="A11" s="171"/>
      <c r="B11" s="172"/>
      <c r="C11" s="172"/>
      <c r="D11" s="172"/>
      <c r="E11" s="172"/>
      <c r="F11" s="3"/>
      <c r="G11" s="57" t="s">
        <v>11</v>
      </c>
      <c r="H11" s="5">
        <f t="shared" si="1"/>
        <v>136941.90000000002</v>
      </c>
      <c r="I11" s="5">
        <f t="shared" si="1"/>
        <v>59297.799999999996</v>
      </c>
      <c r="J11" s="5">
        <f t="shared" si="1"/>
        <v>133270.5</v>
      </c>
      <c r="K11" s="5">
        <f t="shared" si="1"/>
        <v>55626.399999999994</v>
      </c>
      <c r="L11" s="5">
        <f t="shared" si="1"/>
        <v>0</v>
      </c>
      <c r="M11" s="5">
        <f t="shared" si="1"/>
        <v>0</v>
      </c>
      <c r="N11" s="5">
        <f t="shared" si="1"/>
        <v>3671.4</v>
      </c>
      <c r="O11" s="5">
        <f t="shared" si="1"/>
        <v>3671.4</v>
      </c>
      <c r="P11" s="5">
        <f t="shared" si="1"/>
        <v>0</v>
      </c>
      <c r="Q11" s="5">
        <f t="shared" si="1"/>
        <v>0</v>
      </c>
      <c r="R11" s="177"/>
      <c r="S11" s="178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2.75" customHeight="1">
      <c r="A12" s="171"/>
      <c r="B12" s="172"/>
      <c r="C12" s="172"/>
      <c r="D12" s="172"/>
      <c r="E12" s="172"/>
      <c r="F12" s="3"/>
      <c r="G12" s="57" t="s">
        <v>12</v>
      </c>
      <c r="H12" s="5">
        <f t="shared" si="1"/>
        <v>141425.6</v>
      </c>
      <c r="I12" s="5">
        <f t="shared" si="1"/>
        <v>47717.8</v>
      </c>
      <c r="J12" s="5">
        <f t="shared" si="1"/>
        <v>138018.5</v>
      </c>
      <c r="K12" s="5">
        <f t="shared" si="1"/>
        <v>44310.7</v>
      </c>
      <c r="L12" s="5">
        <f t="shared" si="1"/>
        <v>0</v>
      </c>
      <c r="M12" s="5">
        <f t="shared" si="1"/>
        <v>0</v>
      </c>
      <c r="N12" s="5">
        <f t="shared" si="1"/>
        <v>3407.1</v>
      </c>
      <c r="O12" s="5">
        <f t="shared" si="1"/>
        <v>3407.1</v>
      </c>
      <c r="P12" s="5">
        <f t="shared" si="1"/>
        <v>0</v>
      </c>
      <c r="Q12" s="5">
        <f t="shared" si="1"/>
        <v>0</v>
      </c>
      <c r="R12" s="177"/>
      <c r="S12" s="178"/>
      <c r="U12" s="65">
        <f>93297.6-K16</f>
        <v>-1873.8129999999946</v>
      </c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2.75" customHeight="1">
      <c r="A13" s="171"/>
      <c r="B13" s="172"/>
      <c r="C13" s="172"/>
      <c r="D13" s="172"/>
      <c r="E13" s="172"/>
      <c r="F13" s="3"/>
      <c r="G13" s="57" t="s">
        <v>14</v>
      </c>
      <c r="H13" s="5">
        <f t="shared" si="1"/>
        <v>134147.4</v>
      </c>
      <c r="I13" s="5">
        <f t="shared" si="1"/>
        <v>60346.7</v>
      </c>
      <c r="J13" s="5">
        <f t="shared" si="1"/>
        <v>133624.4</v>
      </c>
      <c r="K13" s="5">
        <f t="shared" si="1"/>
        <v>60346.7</v>
      </c>
      <c r="L13" s="5">
        <f t="shared" si="1"/>
        <v>0</v>
      </c>
      <c r="M13" s="5">
        <f t="shared" si="1"/>
        <v>0</v>
      </c>
      <c r="N13" s="5">
        <f t="shared" si="1"/>
        <v>523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177"/>
      <c r="S13" s="178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2.75" customHeight="1">
      <c r="A14" s="171"/>
      <c r="B14" s="172"/>
      <c r="C14" s="172"/>
      <c r="D14" s="172"/>
      <c r="E14" s="172"/>
      <c r="F14" s="3"/>
      <c r="G14" s="123" t="s">
        <v>15</v>
      </c>
      <c r="H14" s="5">
        <f t="shared" si="1"/>
        <v>142954.5</v>
      </c>
      <c r="I14" s="5">
        <f t="shared" si="1"/>
        <v>76889</v>
      </c>
      <c r="J14" s="5">
        <f t="shared" si="1"/>
        <v>138124.6</v>
      </c>
      <c r="K14" s="5">
        <f t="shared" si="1"/>
        <v>72059.1</v>
      </c>
      <c r="L14" s="5">
        <f t="shared" si="1"/>
        <v>0</v>
      </c>
      <c r="M14" s="5">
        <f t="shared" si="1"/>
        <v>0</v>
      </c>
      <c r="N14" s="5">
        <f t="shared" si="1"/>
        <v>4829.9</v>
      </c>
      <c r="O14" s="5">
        <f t="shared" si="1"/>
        <v>4829.9</v>
      </c>
      <c r="P14" s="5">
        <f t="shared" si="1"/>
        <v>0</v>
      </c>
      <c r="Q14" s="5">
        <f t="shared" si="1"/>
        <v>0</v>
      </c>
      <c r="R14" s="177"/>
      <c r="S14" s="178"/>
      <c r="U14" s="56">
        <f>86083.4-K17</f>
        <v>0</v>
      </c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 customHeight="1">
      <c r="A15" s="171"/>
      <c r="B15" s="172"/>
      <c r="C15" s="172"/>
      <c r="D15" s="172"/>
      <c r="E15" s="172"/>
      <c r="F15" s="7"/>
      <c r="G15" s="123" t="s">
        <v>61</v>
      </c>
      <c r="H15" s="5">
        <f t="shared" si="1"/>
        <v>179799.44400000002</v>
      </c>
      <c r="I15" s="5">
        <f t="shared" si="1"/>
        <v>81757.32393</v>
      </c>
      <c r="J15" s="5">
        <f t="shared" si="1"/>
        <v>179799.44400000002</v>
      </c>
      <c r="K15" s="5">
        <f t="shared" si="1"/>
        <v>81757.254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177"/>
      <c r="S15" s="178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3.5" customHeight="1">
      <c r="A16" s="171"/>
      <c r="B16" s="172"/>
      <c r="C16" s="172"/>
      <c r="D16" s="172"/>
      <c r="E16" s="172"/>
      <c r="F16" s="7"/>
      <c r="G16" s="128" t="s">
        <v>110</v>
      </c>
      <c r="H16" s="131">
        <f aca="true" t="shared" si="2" ref="H16:Q16">H872</f>
        <v>95200.593</v>
      </c>
      <c r="I16" s="131">
        <f>K16</f>
        <v>95171.413</v>
      </c>
      <c r="J16" s="131">
        <f t="shared" si="2"/>
        <v>95200.593</v>
      </c>
      <c r="K16" s="131">
        <f>K872</f>
        <v>95171.413</v>
      </c>
      <c r="L16" s="131">
        <f t="shared" si="2"/>
        <v>0</v>
      </c>
      <c r="M16" s="131">
        <f t="shared" si="2"/>
        <v>0</v>
      </c>
      <c r="N16" s="131">
        <f t="shared" si="2"/>
        <v>0</v>
      </c>
      <c r="O16" s="131">
        <f t="shared" si="2"/>
        <v>0</v>
      </c>
      <c r="P16" s="131">
        <f t="shared" si="2"/>
        <v>0</v>
      </c>
      <c r="Q16" s="131">
        <f t="shared" si="2"/>
        <v>0</v>
      </c>
      <c r="R16" s="177"/>
      <c r="S16" s="178"/>
      <c r="T16" s="6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3.5" customHeight="1">
      <c r="A17" s="171"/>
      <c r="B17" s="172"/>
      <c r="C17" s="172"/>
      <c r="D17" s="172"/>
      <c r="E17" s="172"/>
      <c r="F17" s="7"/>
      <c r="G17" s="127" t="s">
        <v>111</v>
      </c>
      <c r="H17" s="5">
        <f>J17</f>
        <v>171284.2</v>
      </c>
      <c r="I17" s="5">
        <f>K17</f>
        <v>86083.4</v>
      </c>
      <c r="J17" s="5">
        <f>J258+J343+J861</f>
        <v>171284.2</v>
      </c>
      <c r="K17" s="5">
        <f>K873</f>
        <v>86083.4</v>
      </c>
      <c r="L17" s="5">
        <f aca="true" t="shared" si="3" ref="L17:Q17">L873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177"/>
      <c r="S17" s="178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3.5" customHeight="1">
      <c r="A18" s="171"/>
      <c r="B18" s="172"/>
      <c r="C18" s="172"/>
      <c r="D18" s="172"/>
      <c r="E18" s="172"/>
      <c r="F18" s="7"/>
      <c r="G18" s="127" t="s">
        <v>112</v>
      </c>
      <c r="H18" s="5">
        <f aca="true" t="shared" si="4" ref="H18:Q18">H874</f>
        <v>170477.3</v>
      </c>
      <c r="I18" s="5">
        <f t="shared" si="4"/>
        <v>86083.4</v>
      </c>
      <c r="J18" s="5">
        <f t="shared" si="4"/>
        <v>170477.3</v>
      </c>
      <c r="K18" s="5">
        <f>K874</f>
        <v>86083.4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5">
        <f t="shared" si="4"/>
        <v>0</v>
      </c>
      <c r="R18" s="177"/>
      <c r="S18" s="178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21" ht="13.5" customHeight="1">
      <c r="A19" s="171"/>
      <c r="B19" s="172"/>
      <c r="C19" s="172"/>
      <c r="D19" s="172"/>
      <c r="E19" s="172"/>
      <c r="F19" s="7"/>
      <c r="G19" s="127" t="s">
        <v>113</v>
      </c>
      <c r="H19" s="5">
        <f aca="true" t="shared" si="5" ref="H19:Q19">H875</f>
        <v>170477.3</v>
      </c>
      <c r="I19" s="5">
        <f>K19</f>
        <v>0</v>
      </c>
      <c r="J19" s="5">
        <f t="shared" si="5"/>
        <v>170477.3</v>
      </c>
      <c r="K19" s="5">
        <f>K224</f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5">
        <f t="shared" si="5"/>
        <v>0</v>
      </c>
      <c r="P19" s="5">
        <f t="shared" si="5"/>
        <v>0</v>
      </c>
      <c r="Q19" s="5">
        <f t="shared" si="5"/>
        <v>0</v>
      </c>
      <c r="R19" s="177"/>
      <c r="S19" s="178"/>
      <c r="T19" s="6">
        <f>U21+V21+W21</f>
        <v>75570.52</v>
      </c>
      <c r="U19" s="6">
        <f>U22-U21</f>
        <v>7047.979999999996</v>
      </c>
    </row>
    <row r="20" spans="1:23" ht="13.5" customHeight="1">
      <c r="A20" s="173"/>
      <c r="B20" s="174"/>
      <c r="C20" s="174"/>
      <c r="D20" s="174"/>
      <c r="E20" s="174"/>
      <c r="F20" s="7"/>
      <c r="G20" s="127" t="s">
        <v>72</v>
      </c>
      <c r="H20" s="5">
        <f aca="true" t="shared" si="6" ref="H20:Q20">H876</f>
        <v>196020.59999999998</v>
      </c>
      <c r="I20" s="5">
        <f>K20</f>
        <v>0</v>
      </c>
      <c r="J20" s="5">
        <f t="shared" si="6"/>
        <v>196020.59999999998</v>
      </c>
      <c r="K20" s="5">
        <f>K225</f>
        <v>0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0</v>
      </c>
      <c r="P20" s="5">
        <f t="shared" si="6"/>
        <v>0</v>
      </c>
      <c r="Q20" s="5">
        <f t="shared" si="6"/>
        <v>0</v>
      </c>
      <c r="R20" s="179"/>
      <c r="S20" s="180"/>
      <c r="U20" s="6">
        <f>K16-93050.8</f>
        <v>2120.6129999999976</v>
      </c>
      <c r="W20" s="6">
        <f>W21-31251.5</f>
        <v>-4625.200000000001</v>
      </c>
    </row>
    <row r="21" spans="1:23" ht="13.5">
      <c r="A21" s="190" t="s">
        <v>43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2"/>
      <c r="T21" s="6">
        <f>U21+V21+W20</f>
        <v>44319.020000000004</v>
      </c>
      <c r="U21" s="6">
        <f>K173+K221+K233</f>
        <v>44477.22</v>
      </c>
      <c r="V21" s="6">
        <f>K355+K596</f>
        <v>4467</v>
      </c>
      <c r="W21" s="6">
        <f>K53+K65+K137+K161+K294+K306</f>
        <v>26626.3</v>
      </c>
    </row>
    <row r="22" spans="1:24" ht="12.75" customHeight="1">
      <c r="A22" s="163">
        <v>1</v>
      </c>
      <c r="B22" s="144" t="s">
        <v>17</v>
      </c>
      <c r="C22" s="69"/>
      <c r="D22" s="69"/>
      <c r="E22" s="144" t="s">
        <v>50</v>
      </c>
      <c r="F22" s="8"/>
      <c r="G22" s="9" t="s">
        <v>9</v>
      </c>
      <c r="H22" s="10">
        <f aca="true" t="shared" si="7" ref="H22:Q22">SUM(H23:H33)</f>
        <v>6722.9</v>
      </c>
      <c r="I22" s="10">
        <f t="shared" si="7"/>
        <v>4522</v>
      </c>
      <c r="J22" s="10">
        <f t="shared" si="7"/>
        <v>6722.9</v>
      </c>
      <c r="K22" s="10">
        <f t="shared" si="7"/>
        <v>4522</v>
      </c>
      <c r="L22" s="10">
        <f t="shared" si="7"/>
        <v>0</v>
      </c>
      <c r="M22" s="10">
        <f t="shared" si="7"/>
        <v>0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157" t="s">
        <v>134</v>
      </c>
      <c r="S22" s="158"/>
      <c r="T22" s="11">
        <f>U22+V22+W22</f>
        <v>65673.09999999999</v>
      </c>
      <c r="U22" s="6">
        <f>K54+K174+K222+K234</f>
        <v>51525.2</v>
      </c>
      <c r="V22" s="6">
        <f>K356+K597</f>
        <v>4563.1</v>
      </c>
      <c r="W22" s="6">
        <f>K54+K66+K138+K162</f>
        <v>9584.8</v>
      </c>
      <c r="X22" s="6">
        <f>W22-30627</f>
        <v>-21042.2</v>
      </c>
    </row>
    <row r="23" spans="1:33" ht="15.75" customHeight="1">
      <c r="A23" s="164"/>
      <c r="B23" s="145"/>
      <c r="C23" s="70"/>
      <c r="D23" s="70"/>
      <c r="E23" s="145"/>
      <c r="F23" s="8" t="s">
        <v>18</v>
      </c>
      <c r="G23" s="12" t="s">
        <v>13</v>
      </c>
      <c r="H23" s="13">
        <f aca="true" t="shared" si="8" ref="H23:I28">J23+L23+N23+P23</f>
        <v>360</v>
      </c>
      <c r="I23" s="13">
        <f t="shared" si="8"/>
        <v>360</v>
      </c>
      <c r="J23" s="13">
        <v>360</v>
      </c>
      <c r="K23" s="13">
        <v>360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59"/>
      <c r="S23" s="160"/>
      <c r="T23" s="14"/>
      <c r="U23" s="14" t="s">
        <v>73</v>
      </c>
      <c r="V23" s="14" t="s">
        <v>74</v>
      </c>
      <c r="W23" s="14" t="s">
        <v>75</v>
      </c>
      <c r="X23" s="14" t="s">
        <v>76</v>
      </c>
      <c r="Y23" s="14" t="s">
        <v>77</v>
      </c>
      <c r="Z23" s="14" t="s">
        <v>78</v>
      </c>
      <c r="AA23" s="14" t="s">
        <v>79</v>
      </c>
      <c r="AB23" s="14" t="s">
        <v>80</v>
      </c>
      <c r="AC23" s="14" t="s">
        <v>81</v>
      </c>
      <c r="AD23" s="14" t="s">
        <v>82</v>
      </c>
      <c r="AE23" s="14" t="s">
        <v>83</v>
      </c>
      <c r="AF23" s="14" t="s">
        <v>84</v>
      </c>
      <c r="AG23" s="15" t="s">
        <v>99</v>
      </c>
    </row>
    <row r="24" spans="1:33" ht="12.75">
      <c r="A24" s="164"/>
      <c r="B24" s="145"/>
      <c r="C24" s="70"/>
      <c r="D24" s="70"/>
      <c r="E24" s="145"/>
      <c r="F24" s="8"/>
      <c r="G24" s="12" t="s">
        <v>11</v>
      </c>
      <c r="H24" s="13">
        <f t="shared" si="8"/>
        <v>1800</v>
      </c>
      <c r="I24" s="13">
        <f t="shared" si="8"/>
        <v>1010</v>
      </c>
      <c r="J24" s="13">
        <v>1800</v>
      </c>
      <c r="K24" s="13">
        <v>1010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59"/>
      <c r="S24" s="160"/>
      <c r="T24" s="16"/>
      <c r="U24" s="16" t="s">
        <v>85</v>
      </c>
      <c r="V24" s="16" t="s">
        <v>86</v>
      </c>
      <c r="W24" s="16" t="s">
        <v>87</v>
      </c>
      <c r="X24" s="16" t="s">
        <v>88</v>
      </c>
      <c r="Y24" s="16" t="s">
        <v>89</v>
      </c>
      <c r="Z24" s="16" t="s">
        <v>90</v>
      </c>
      <c r="AA24" s="16" t="s">
        <v>91</v>
      </c>
      <c r="AB24" s="16" t="s">
        <v>92</v>
      </c>
      <c r="AC24" s="16" t="s">
        <v>93</v>
      </c>
      <c r="AD24" s="17"/>
      <c r="AE24" s="17"/>
      <c r="AF24" s="17"/>
      <c r="AG24" s="18"/>
    </row>
    <row r="25" spans="1:33" ht="12.75">
      <c r="A25" s="164"/>
      <c r="B25" s="145"/>
      <c r="C25" s="70"/>
      <c r="D25" s="70"/>
      <c r="E25" s="145"/>
      <c r="F25" s="8"/>
      <c r="G25" s="12" t="s">
        <v>12</v>
      </c>
      <c r="H25" s="13">
        <f t="shared" si="8"/>
        <v>2540.3</v>
      </c>
      <c r="I25" s="13">
        <f t="shared" si="8"/>
        <v>1592</v>
      </c>
      <c r="J25" s="13">
        <f>1917.5+622.8</f>
        <v>2540.3</v>
      </c>
      <c r="K25" s="13">
        <f>1600-8</f>
        <v>1592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59"/>
      <c r="S25" s="160"/>
      <c r="T25" s="16"/>
      <c r="U25" s="16" t="s">
        <v>85</v>
      </c>
      <c r="V25" s="16" t="s">
        <v>86</v>
      </c>
      <c r="W25" s="16" t="s">
        <v>94</v>
      </c>
      <c r="X25" s="16" t="s">
        <v>88</v>
      </c>
      <c r="Y25" s="16" t="s">
        <v>89</v>
      </c>
      <c r="Z25" s="16" t="s">
        <v>95</v>
      </c>
      <c r="AA25" s="16" t="s">
        <v>91</v>
      </c>
      <c r="AB25" s="16" t="s">
        <v>92</v>
      </c>
      <c r="AC25" s="16" t="s">
        <v>93</v>
      </c>
      <c r="AD25" s="17">
        <v>1560000</v>
      </c>
      <c r="AE25" s="17">
        <v>1600000</v>
      </c>
      <c r="AF25" s="17">
        <v>1600000</v>
      </c>
      <c r="AG25" s="19">
        <v>1560000</v>
      </c>
    </row>
    <row r="26" spans="1:33" ht="12.75">
      <c r="A26" s="164"/>
      <c r="B26" s="145"/>
      <c r="C26" s="70"/>
      <c r="D26" s="70"/>
      <c r="E26" s="145"/>
      <c r="F26" s="8"/>
      <c r="G26" s="12" t="s">
        <v>14</v>
      </c>
      <c r="H26" s="13">
        <f t="shared" si="8"/>
        <v>2022.6</v>
      </c>
      <c r="I26" s="13">
        <f t="shared" si="8"/>
        <v>1560</v>
      </c>
      <c r="J26" s="13">
        <v>2022.6</v>
      </c>
      <c r="K26" s="13">
        <f>1600-40</f>
        <v>1560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59"/>
      <c r="S26" s="160"/>
      <c r="T26" s="16"/>
      <c r="U26" s="16" t="s">
        <v>85</v>
      </c>
      <c r="V26" s="16" t="s">
        <v>86</v>
      </c>
      <c r="W26" s="16" t="s">
        <v>94</v>
      </c>
      <c r="X26" s="16" t="s">
        <v>88</v>
      </c>
      <c r="Y26" s="16" t="s">
        <v>96</v>
      </c>
      <c r="Z26" s="16" t="s">
        <v>95</v>
      </c>
      <c r="AA26" s="16" t="s">
        <v>91</v>
      </c>
      <c r="AB26" s="16" t="s">
        <v>92</v>
      </c>
      <c r="AC26" s="16" t="s">
        <v>93</v>
      </c>
      <c r="AD26" s="17"/>
      <c r="AE26" s="17"/>
      <c r="AF26" s="17"/>
      <c r="AG26" s="18"/>
    </row>
    <row r="27" spans="1:33" ht="12.75">
      <c r="A27" s="164"/>
      <c r="B27" s="145"/>
      <c r="C27" s="70"/>
      <c r="D27" s="70"/>
      <c r="E27" s="145"/>
      <c r="F27" s="8"/>
      <c r="G27" s="12" t="s">
        <v>15</v>
      </c>
      <c r="H27" s="13">
        <f t="shared" si="8"/>
        <v>0</v>
      </c>
      <c r="I27" s="13">
        <f t="shared" si="8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59"/>
      <c r="S27" s="160"/>
      <c r="T27" s="16"/>
      <c r="U27" s="16" t="s">
        <v>85</v>
      </c>
      <c r="V27" s="16" t="s">
        <v>86</v>
      </c>
      <c r="W27" s="16" t="s">
        <v>97</v>
      </c>
      <c r="X27" s="16" t="s">
        <v>88</v>
      </c>
      <c r="Y27" s="16" t="s">
        <v>89</v>
      </c>
      <c r="Z27" s="16" t="s">
        <v>95</v>
      </c>
      <c r="AA27" s="16" t="s">
        <v>91</v>
      </c>
      <c r="AB27" s="16" t="s">
        <v>92</v>
      </c>
      <c r="AC27" s="16" t="s">
        <v>93</v>
      </c>
      <c r="AD27" s="17"/>
      <c r="AE27" s="17"/>
      <c r="AF27" s="17"/>
      <c r="AG27" s="18"/>
    </row>
    <row r="28" spans="1:33" ht="12.75">
      <c r="A28" s="164"/>
      <c r="B28" s="145"/>
      <c r="C28" s="88"/>
      <c r="D28" s="88"/>
      <c r="E28" s="145"/>
      <c r="F28" s="8"/>
      <c r="G28" s="12" t="s">
        <v>61</v>
      </c>
      <c r="H28" s="13">
        <v>0</v>
      </c>
      <c r="I28" s="13">
        <f t="shared" si="8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59"/>
      <c r="S28" s="160"/>
      <c r="T28" s="11"/>
      <c r="AG28" s="18"/>
    </row>
    <row r="29" spans="1:33" ht="12.75">
      <c r="A29" s="164"/>
      <c r="B29" s="145"/>
      <c r="C29" s="70"/>
      <c r="D29" s="70"/>
      <c r="E29" s="145"/>
      <c r="F29" s="8"/>
      <c r="G29" s="12" t="s">
        <v>110</v>
      </c>
      <c r="H29" s="13">
        <v>0</v>
      </c>
      <c r="I29" s="13">
        <f>K29+M29+O29+Q29</f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59"/>
      <c r="S29" s="160"/>
      <c r="T29" s="11">
        <f>K17-92474.2</f>
        <v>-6390.800000000003</v>
      </c>
      <c r="AG29" s="18"/>
    </row>
    <row r="30" spans="1:33" ht="12.75">
      <c r="A30" s="164"/>
      <c r="B30" s="145"/>
      <c r="C30" s="70"/>
      <c r="D30" s="70"/>
      <c r="E30" s="145"/>
      <c r="F30" s="8"/>
      <c r="G30" s="12" t="s">
        <v>111</v>
      </c>
      <c r="H30" s="13">
        <v>0</v>
      </c>
      <c r="I30" s="13">
        <f>K30+M30+O30+Q30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59"/>
      <c r="S30" s="160"/>
      <c r="T30" s="11"/>
      <c r="AG30" s="18"/>
    </row>
    <row r="31" spans="1:33" ht="12.75">
      <c r="A31" s="164"/>
      <c r="B31" s="145"/>
      <c r="C31" s="70"/>
      <c r="D31" s="70"/>
      <c r="E31" s="145"/>
      <c r="F31" s="8"/>
      <c r="G31" s="12" t="s">
        <v>112</v>
      </c>
      <c r="H31" s="13">
        <v>0</v>
      </c>
      <c r="I31" s="13">
        <f>K31+M31+O31+Q31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59"/>
      <c r="S31" s="160"/>
      <c r="T31" s="11">
        <f>J17-171284.2</f>
        <v>0</v>
      </c>
      <c r="AG31" s="18"/>
    </row>
    <row r="32" spans="1:33" ht="12.75">
      <c r="A32" s="164"/>
      <c r="B32" s="145"/>
      <c r="C32" s="70"/>
      <c r="D32" s="70"/>
      <c r="E32" s="145"/>
      <c r="F32" s="8"/>
      <c r="G32" s="12" t="s">
        <v>113</v>
      </c>
      <c r="H32" s="13">
        <v>0</v>
      </c>
      <c r="I32" s="13">
        <f>K32+M32+O32+Q32</f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59"/>
      <c r="S32" s="160"/>
      <c r="T32" s="11">
        <f>J18-170477.3</f>
        <v>0</v>
      </c>
      <c r="AG32" s="18"/>
    </row>
    <row r="33" spans="1:33" ht="12.75">
      <c r="A33" s="165"/>
      <c r="B33" s="146"/>
      <c r="C33" s="71"/>
      <c r="D33" s="71"/>
      <c r="E33" s="146"/>
      <c r="F33" s="8"/>
      <c r="G33" s="12" t="s">
        <v>72</v>
      </c>
      <c r="H33" s="13">
        <v>0</v>
      </c>
      <c r="I33" s="13">
        <f>K33+M33+O33+Q33</f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61"/>
      <c r="S33" s="162"/>
      <c r="T33" s="11"/>
      <c r="AG33" s="18"/>
    </row>
    <row r="34" spans="1:33" ht="12.75">
      <c r="A34" s="163">
        <f>A22+1</f>
        <v>2</v>
      </c>
      <c r="B34" s="144" t="s">
        <v>131</v>
      </c>
      <c r="C34" s="69"/>
      <c r="D34" s="69"/>
      <c r="E34" s="144" t="s">
        <v>50</v>
      </c>
      <c r="F34" s="8"/>
      <c r="G34" s="9" t="s">
        <v>9</v>
      </c>
      <c r="H34" s="10">
        <f aca="true" t="shared" si="9" ref="H34:Q34">SUM(H35:H45)</f>
        <v>128075.9</v>
      </c>
      <c r="I34" s="10">
        <f t="shared" si="9"/>
        <v>19451.3</v>
      </c>
      <c r="J34" s="10">
        <f t="shared" si="9"/>
        <v>128075.9</v>
      </c>
      <c r="K34" s="10">
        <f t="shared" si="9"/>
        <v>19451.3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57" t="s">
        <v>134</v>
      </c>
      <c r="S34" s="158"/>
      <c r="T34" s="11"/>
      <c r="AG34" s="18"/>
    </row>
    <row r="35" spans="1:33" ht="14.25" customHeight="1">
      <c r="A35" s="164"/>
      <c r="B35" s="145"/>
      <c r="C35" s="70"/>
      <c r="D35" s="70"/>
      <c r="E35" s="145"/>
      <c r="F35" s="8" t="s">
        <v>18</v>
      </c>
      <c r="G35" s="12" t="s">
        <v>13</v>
      </c>
      <c r="H35" s="13">
        <f aca="true" t="shared" si="10" ref="H35:I40">J35+L35+N35+P35</f>
        <v>36058</v>
      </c>
      <c r="I35" s="13">
        <f t="shared" si="10"/>
        <v>74.2</v>
      </c>
      <c r="J35" s="13">
        <v>36058</v>
      </c>
      <c r="K35" s="13">
        <v>74.2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59"/>
      <c r="S35" s="160"/>
      <c r="T35" s="14"/>
      <c r="U35" s="14" t="s">
        <v>73</v>
      </c>
      <c r="V35" s="14" t="s">
        <v>74</v>
      </c>
      <c r="W35" s="14" t="s">
        <v>75</v>
      </c>
      <c r="X35" s="14" t="s">
        <v>76</v>
      </c>
      <c r="Y35" s="14" t="s">
        <v>77</v>
      </c>
      <c r="Z35" s="14" t="s">
        <v>78</v>
      </c>
      <c r="AA35" s="14" t="s">
        <v>79</v>
      </c>
      <c r="AB35" s="14" t="s">
        <v>80</v>
      </c>
      <c r="AC35" s="14" t="s">
        <v>81</v>
      </c>
      <c r="AD35" s="14" t="s">
        <v>82</v>
      </c>
      <c r="AE35" s="14" t="s">
        <v>83</v>
      </c>
      <c r="AF35" s="14" t="s">
        <v>84</v>
      </c>
      <c r="AG35" s="18"/>
    </row>
    <row r="36" spans="1:33" ht="15.75" customHeight="1">
      <c r="A36" s="164"/>
      <c r="B36" s="145"/>
      <c r="C36" s="70"/>
      <c r="D36" s="70"/>
      <c r="E36" s="145"/>
      <c r="F36" s="8"/>
      <c r="G36" s="12" t="s">
        <v>11</v>
      </c>
      <c r="H36" s="13">
        <f t="shared" si="10"/>
        <v>37969</v>
      </c>
      <c r="I36" s="13">
        <f t="shared" si="10"/>
        <v>12082.9</v>
      </c>
      <c r="J36" s="13">
        <v>37969</v>
      </c>
      <c r="K36" s="20">
        <v>12082.9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59"/>
      <c r="S36" s="160"/>
      <c r="T36" s="16"/>
      <c r="U36" s="16" t="s">
        <v>85</v>
      </c>
      <c r="V36" s="16" t="s">
        <v>86</v>
      </c>
      <c r="W36" s="16" t="s">
        <v>87</v>
      </c>
      <c r="X36" s="16" t="s">
        <v>88</v>
      </c>
      <c r="Y36" s="16" t="s">
        <v>89</v>
      </c>
      <c r="Z36" s="16" t="s">
        <v>90</v>
      </c>
      <c r="AA36" s="16" t="s">
        <v>91</v>
      </c>
      <c r="AB36" s="16" t="s">
        <v>92</v>
      </c>
      <c r="AC36" s="16" t="s">
        <v>93</v>
      </c>
      <c r="AD36" s="17">
        <v>263250</v>
      </c>
      <c r="AE36" s="17">
        <v>263250</v>
      </c>
      <c r="AF36" s="17">
        <v>263250</v>
      </c>
      <c r="AG36" s="18">
        <v>263250</v>
      </c>
    </row>
    <row r="37" spans="1:33" ht="12.75">
      <c r="A37" s="164"/>
      <c r="B37" s="145"/>
      <c r="C37" s="70"/>
      <c r="D37" s="70"/>
      <c r="E37" s="145"/>
      <c r="F37" s="8"/>
      <c r="G37" s="12" t="s">
        <v>12</v>
      </c>
      <c r="H37" s="13">
        <f t="shared" si="10"/>
        <v>39981.4</v>
      </c>
      <c r="I37" s="13">
        <f t="shared" si="10"/>
        <v>2790.3999999999996</v>
      </c>
      <c r="J37" s="21">
        <v>39981.4</v>
      </c>
      <c r="K37" s="13">
        <f>3368.9-434.8-107.9-1.8-2-42+10</f>
        <v>2790.3999999999996</v>
      </c>
      <c r="L37" s="22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59"/>
      <c r="S37" s="160"/>
      <c r="T37" s="23"/>
      <c r="U37" s="23" t="s">
        <v>85</v>
      </c>
      <c r="V37" s="23" t="s">
        <v>86</v>
      </c>
      <c r="W37" s="23" t="s">
        <v>94</v>
      </c>
      <c r="X37" s="23" t="s">
        <v>88</v>
      </c>
      <c r="Y37" s="23" t="s">
        <v>89</v>
      </c>
      <c r="Z37" s="23" t="s">
        <v>95</v>
      </c>
      <c r="AA37" s="23" t="s">
        <v>91</v>
      </c>
      <c r="AB37" s="23" t="s">
        <v>92</v>
      </c>
      <c r="AC37" s="23" t="s">
        <v>93</v>
      </c>
      <c r="AD37" s="24">
        <f>84150+847500+541352+316962+213000+562648+83075.49+1019.1+870</f>
        <v>2650576.5900000003</v>
      </c>
      <c r="AE37" s="24">
        <v>3355900</v>
      </c>
      <c r="AF37" s="24">
        <v>3355900</v>
      </c>
      <c r="AG37" s="25">
        <f>84150+847500+541352+316962+213000-49.9+870</f>
        <v>2003784.1</v>
      </c>
    </row>
    <row r="38" spans="1:33" ht="12.75">
      <c r="A38" s="164"/>
      <c r="B38" s="145"/>
      <c r="C38" s="70"/>
      <c r="D38" s="70"/>
      <c r="E38" s="145"/>
      <c r="F38" s="8"/>
      <c r="G38" s="12" t="s">
        <v>14</v>
      </c>
      <c r="H38" s="13">
        <f t="shared" si="10"/>
        <v>14067.5</v>
      </c>
      <c r="I38" s="13">
        <f t="shared" si="10"/>
        <v>4503.8</v>
      </c>
      <c r="J38" s="21">
        <v>14067.5</v>
      </c>
      <c r="K38" s="13">
        <v>4503.8</v>
      </c>
      <c r="L38" s="22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59"/>
      <c r="S38" s="160"/>
      <c r="T38" s="23"/>
      <c r="U38" s="23" t="s">
        <v>85</v>
      </c>
      <c r="V38" s="23" t="s">
        <v>86</v>
      </c>
      <c r="W38" s="23" t="s">
        <v>94</v>
      </c>
      <c r="X38" s="23" t="s">
        <v>88</v>
      </c>
      <c r="Y38" s="23" t="s">
        <v>96</v>
      </c>
      <c r="Z38" s="23" t="s">
        <v>95</v>
      </c>
      <c r="AA38" s="23" t="s">
        <v>91</v>
      </c>
      <c r="AB38" s="23" t="s">
        <v>92</v>
      </c>
      <c r="AC38" s="23" t="s">
        <v>93</v>
      </c>
      <c r="AD38" s="24">
        <f>179802.5+200000+99990+120700+11.98</f>
        <v>600504.48</v>
      </c>
      <c r="AE38" s="24">
        <v>600000</v>
      </c>
      <c r="AF38" s="24">
        <v>600000</v>
      </c>
      <c r="AG38" s="25">
        <f>179802.5+200000+99990+120700</f>
        <v>600492.5</v>
      </c>
    </row>
    <row r="39" spans="1:33" ht="12.75">
      <c r="A39" s="164"/>
      <c r="B39" s="145"/>
      <c r="C39" s="88"/>
      <c r="D39" s="88"/>
      <c r="E39" s="145"/>
      <c r="F39" s="8"/>
      <c r="G39" s="12" t="s">
        <v>15</v>
      </c>
      <c r="H39" s="13">
        <v>0</v>
      </c>
      <c r="I39" s="13">
        <f t="shared" si="10"/>
        <v>0</v>
      </c>
      <c r="J39" s="21">
        <v>0</v>
      </c>
      <c r="K39" s="13">
        <v>0</v>
      </c>
      <c r="L39" s="22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59"/>
      <c r="S39" s="160"/>
      <c r="T39" s="16"/>
      <c r="U39" s="16" t="s">
        <v>85</v>
      </c>
      <c r="V39" s="16" t="s">
        <v>86</v>
      </c>
      <c r="W39" s="16" t="s">
        <v>97</v>
      </c>
      <c r="X39" s="16" t="s">
        <v>88</v>
      </c>
      <c r="Y39" s="16" t="s">
        <v>89</v>
      </c>
      <c r="Z39" s="16" t="s">
        <v>95</v>
      </c>
      <c r="AA39" s="16" t="s">
        <v>91</v>
      </c>
      <c r="AB39" s="16" t="s">
        <v>92</v>
      </c>
      <c r="AC39" s="16" t="s">
        <v>93</v>
      </c>
      <c r="AD39" s="17">
        <f>836288+800000+470412</f>
        <v>2106700</v>
      </c>
      <c r="AE39" s="17">
        <v>2106700</v>
      </c>
      <c r="AF39" s="17">
        <v>2106700</v>
      </c>
      <c r="AG39" s="26">
        <f>836288+800000</f>
        <v>1636288</v>
      </c>
    </row>
    <row r="40" spans="1:33" ht="12.75">
      <c r="A40" s="164"/>
      <c r="B40" s="145"/>
      <c r="C40" s="70"/>
      <c r="D40" s="70"/>
      <c r="E40" s="145"/>
      <c r="F40" s="8"/>
      <c r="G40" s="12" t="s">
        <v>61</v>
      </c>
      <c r="H40" s="13">
        <v>0</v>
      </c>
      <c r="I40" s="13">
        <f t="shared" si="10"/>
        <v>0</v>
      </c>
      <c r="J40" s="13">
        <v>0</v>
      </c>
      <c r="K40" s="13">
        <v>0</v>
      </c>
      <c r="L40" s="13">
        <f aca="true" t="shared" si="11" ref="L40:Q40">L39</f>
        <v>0</v>
      </c>
      <c r="M40" s="13">
        <f t="shared" si="11"/>
        <v>0</v>
      </c>
      <c r="N40" s="13">
        <f t="shared" si="11"/>
        <v>0</v>
      </c>
      <c r="O40" s="13">
        <f t="shared" si="11"/>
        <v>0</v>
      </c>
      <c r="P40" s="13">
        <f t="shared" si="11"/>
        <v>0</v>
      </c>
      <c r="Q40" s="13">
        <f t="shared" si="11"/>
        <v>0</v>
      </c>
      <c r="R40" s="159"/>
      <c r="S40" s="160"/>
      <c r="T40" s="11"/>
      <c r="AD40" s="11">
        <f>SUM(AD36:AD39)</f>
        <v>5621031.07</v>
      </c>
      <c r="AG40" s="18">
        <f>SUM(AG36:AG39)</f>
        <v>4503814.6</v>
      </c>
    </row>
    <row r="41" spans="1:33" ht="12.75">
      <c r="A41" s="164"/>
      <c r="B41" s="145"/>
      <c r="C41" s="70"/>
      <c r="D41" s="70"/>
      <c r="E41" s="145"/>
      <c r="F41" s="8"/>
      <c r="G41" s="12" t="s">
        <v>110</v>
      </c>
      <c r="H41" s="13">
        <v>0</v>
      </c>
      <c r="I41" s="13">
        <f>K41+M41+O41+Q41</f>
        <v>0</v>
      </c>
      <c r="J41" s="13">
        <v>0</v>
      </c>
      <c r="K41" s="13">
        <v>0</v>
      </c>
      <c r="L41" s="13">
        <f aca="true" t="shared" si="12" ref="L41:Q41">L40</f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59"/>
      <c r="S41" s="160"/>
      <c r="T41" s="11"/>
      <c r="AD41" s="11"/>
      <c r="AG41" s="18"/>
    </row>
    <row r="42" spans="1:33" ht="12.75">
      <c r="A42" s="164"/>
      <c r="B42" s="145"/>
      <c r="C42" s="70"/>
      <c r="D42" s="70"/>
      <c r="E42" s="145"/>
      <c r="F42" s="8"/>
      <c r="G42" s="12" t="s">
        <v>111</v>
      </c>
      <c r="H42" s="13">
        <v>0</v>
      </c>
      <c r="I42" s="13">
        <f>K42+M42+O42+Q42</f>
        <v>0</v>
      </c>
      <c r="J42" s="13">
        <v>0</v>
      </c>
      <c r="K42" s="13">
        <v>0</v>
      </c>
      <c r="L42" s="13">
        <f aca="true" t="shared" si="13" ref="L42:Q42">L41</f>
        <v>0</v>
      </c>
      <c r="M42" s="13">
        <f t="shared" si="13"/>
        <v>0</v>
      </c>
      <c r="N42" s="13">
        <f t="shared" si="13"/>
        <v>0</v>
      </c>
      <c r="O42" s="13">
        <f t="shared" si="13"/>
        <v>0</v>
      </c>
      <c r="P42" s="13">
        <f t="shared" si="13"/>
        <v>0</v>
      </c>
      <c r="Q42" s="13">
        <f t="shared" si="13"/>
        <v>0</v>
      </c>
      <c r="R42" s="159"/>
      <c r="S42" s="160"/>
      <c r="T42" s="11">
        <f>J54+J66+J138+J162+J271+J283+J295+J307+J331</f>
        <v>85641.41999999998</v>
      </c>
      <c r="AD42" s="11"/>
      <c r="AG42" s="18"/>
    </row>
    <row r="43" spans="1:33" ht="12.75">
      <c r="A43" s="164"/>
      <c r="B43" s="145"/>
      <c r="C43" s="70"/>
      <c r="D43" s="70"/>
      <c r="E43" s="145"/>
      <c r="F43" s="8"/>
      <c r="G43" s="12" t="s">
        <v>112</v>
      </c>
      <c r="H43" s="13">
        <v>0</v>
      </c>
      <c r="I43" s="13">
        <f>K43+M43+O43+Q43</f>
        <v>0</v>
      </c>
      <c r="J43" s="13">
        <v>0</v>
      </c>
      <c r="K43" s="13">
        <v>0</v>
      </c>
      <c r="L43" s="13">
        <f aca="true" t="shared" si="14" ref="L43:Q43">L42</f>
        <v>0</v>
      </c>
      <c r="M43" s="13">
        <f t="shared" si="14"/>
        <v>0</v>
      </c>
      <c r="N43" s="13">
        <f t="shared" si="14"/>
        <v>0</v>
      </c>
      <c r="O43" s="13">
        <f t="shared" si="14"/>
        <v>0</v>
      </c>
      <c r="P43" s="13">
        <f t="shared" si="14"/>
        <v>0</v>
      </c>
      <c r="Q43" s="13">
        <f t="shared" si="14"/>
        <v>0</v>
      </c>
      <c r="R43" s="159"/>
      <c r="S43" s="160"/>
      <c r="T43" s="11"/>
      <c r="AD43" s="11"/>
      <c r="AG43" s="18"/>
    </row>
    <row r="44" spans="1:33" ht="12.75">
      <c r="A44" s="164"/>
      <c r="B44" s="145"/>
      <c r="C44" s="70"/>
      <c r="D44" s="70"/>
      <c r="E44" s="145"/>
      <c r="F44" s="8"/>
      <c r="G44" s="12" t="s">
        <v>113</v>
      </c>
      <c r="H44" s="13">
        <v>0</v>
      </c>
      <c r="I44" s="13">
        <f>K44+M44+O44+Q44</f>
        <v>0</v>
      </c>
      <c r="J44" s="13">
        <v>0</v>
      </c>
      <c r="K44" s="13">
        <v>0</v>
      </c>
      <c r="L44" s="13">
        <f aca="true" t="shared" si="15" ref="L44:Q44">L43</f>
        <v>0</v>
      </c>
      <c r="M44" s="13">
        <f t="shared" si="15"/>
        <v>0</v>
      </c>
      <c r="N44" s="13">
        <f t="shared" si="15"/>
        <v>0</v>
      </c>
      <c r="O44" s="13">
        <f t="shared" si="15"/>
        <v>0</v>
      </c>
      <c r="P44" s="13">
        <f t="shared" si="15"/>
        <v>0</v>
      </c>
      <c r="Q44" s="13">
        <f t="shared" si="15"/>
        <v>0</v>
      </c>
      <c r="R44" s="159"/>
      <c r="S44" s="160"/>
      <c r="T44" s="11">
        <f>K52+K64+K136+K160+K172+K220+K232</f>
        <v>55698.481999999996</v>
      </c>
      <c r="AD44" s="11"/>
      <c r="AG44" s="18"/>
    </row>
    <row r="45" spans="1:33" ht="12.75">
      <c r="A45" s="165"/>
      <c r="B45" s="146"/>
      <c r="C45" s="71"/>
      <c r="D45" s="71"/>
      <c r="E45" s="146"/>
      <c r="F45" s="8"/>
      <c r="G45" s="12" t="s">
        <v>72</v>
      </c>
      <c r="H45" s="13">
        <v>0</v>
      </c>
      <c r="I45" s="13">
        <f>K45+M45+O45+Q45</f>
        <v>0</v>
      </c>
      <c r="J45" s="13">
        <v>0</v>
      </c>
      <c r="K45" s="13">
        <v>0</v>
      </c>
      <c r="L45" s="13">
        <f aca="true" t="shared" si="16" ref="L45:Q45">L44</f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</v>
      </c>
      <c r="Q45" s="13">
        <f t="shared" si="16"/>
        <v>0</v>
      </c>
      <c r="R45" s="161"/>
      <c r="S45" s="162"/>
      <c r="T45" s="11"/>
      <c r="AD45" s="11"/>
      <c r="AG45" s="18"/>
    </row>
    <row r="46" spans="1:33" ht="12.75">
      <c r="A46" s="163">
        <f>A34+1</f>
        <v>3</v>
      </c>
      <c r="B46" s="166" t="s">
        <v>19</v>
      </c>
      <c r="C46" s="95"/>
      <c r="D46" s="95"/>
      <c r="E46" s="144" t="s">
        <v>50</v>
      </c>
      <c r="F46" s="8"/>
      <c r="G46" s="9" t="s">
        <v>9</v>
      </c>
      <c r="H46" s="10">
        <f aca="true" t="shared" si="17" ref="H46:Q46">SUM(H47:H57)</f>
        <v>2814.7</v>
      </c>
      <c r="I46" s="10">
        <f t="shared" si="17"/>
        <v>2058.62</v>
      </c>
      <c r="J46" s="10">
        <f t="shared" si="17"/>
        <v>2814.7</v>
      </c>
      <c r="K46" s="10">
        <f t="shared" si="17"/>
        <v>2058.62</v>
      </c>
      <c r="L46" s="10">
        <f t="shared" si="17"/>
        <v>0</v>
      </c>
      <c r="M46" s="10">
        <f t="shared" si="17"/>
        <v>0</v>
      </c>
      <c r="N46" s="10">
        <f t="shared" si="17"/>
        <v>0</v>
      </c>
      <c r="O46" s="10">
        <f t="shared" si="17"/>
        <v>0</v>
      </c>
      <c r="P46" s="10">
        <f t="shared" si="17"/>
        <v>0</v>
      </c>
      <c r="Q46" s="10">
        <f t="shared" si="17"/>
        <v>0</v>
      </c>
      <c r="R46" s="208" t="s">
        <v>62</v>
      </c>
      <c r="S46" s="209"/>
      <c r="T46" s="11"/>
      <c r="AG46" s="18"/>
    </row>
    <row r="47" spans="1:33" ht="13.5" customHeight="1">
      <c r="A47" s="164"/>
      <c r="B47" s="167"/>
      <c r="C47" s="96"/>
      <c r="D47" s="96"/>
      <c r="E47" s="145"/>
      <c r="F47" s="8" t="s">
        <v>18</v>
      </c>
      <c r="G47" s="12" t="s">
        <v>13</v>
      </c>
      <c r="H47" s="13">
        <f>J47+L47+N47+P47</f>
        <v>193.9</v>
      </c>
      <c r="I47" s="13">
        <f aca="true" t="shared" si="18" ref="H47:I52">K47+M47+O47+Q47</f>
        <v>181.1</v>
      </c>
      <c r="J47" s="13">
        <v>193.9</v>
      </c>
      <c r="K47" s="13">
        <v>181.1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210"/>
      <c r="S47" s="211"/>
      <c r="T47" s="11"/>
      <c r="AG47" s="18"/>
    </row>
    <row r="48" spans="1:33" ht="12.75">
      <c r="A48" s="164"/>
      <c r="B48" s="167"/>
      <c r="C48" s="96"/>
      <c r="D48" s="96"/>
      <c r="E48" s="145"/>
      <c r="F48" s="8"/>
      <c r="G48" s="12" t="s">
        <v>11</v>
      </c>
      <c r="H48" s="13">
        <f t="shared" si="18"/>
        <v>204.2</v>
      </c>
      <c r="I48" s="13">
        <f t="shared" si="18"/>
        <v>180.9</v>
      </c>
      <c r="J48" s="13">
        <v>204.2</v>
      </c>
      <c r="K48" s="13">
        <v>180.9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210"/>
      <c r="S48" s="211"/>
      <c r="T48" s="14"/>
      <c r="U48" s="14" t="s">
        <v>73</v>
      </c>
      <c r="V48" s="14" t="s">
        <v>74</v>
      </c>
      <c r="W48" s="14" t="s">
        <v>75</v>
      </c>
      <c r="X48" s="14" t="s">
        <v>77</v>
      </c>
      <c r="Y48" s="14" t="s">
        <v>78</v>
      </c>
      <c r="Z48" s="14" t="s">
        <v>79</v>
      </c>
      <c r="AG48" s="18"/>
    </row>
    <row r="49" spans="1:33" ht="12.75">
      <c r="A49" s="164"/>
      <c r="B49" s="167"/>
      <c r="C49" s="96"/>
      <c r="D49" s="96"/>
      <c r="E49" s="145"/>
      <c r="F49" s="8"/>
      <c r="G49" s="12" t="s">
        <v>12</v>
      </c>
      <c r="H49" s="13">
        <f t="shared" si="18"/>
        <v>215</v>
      </c>
      <c r="I49" s="13">
        <f t="shared" si="18"/>
        <v>181</v>
      </c>
      <c r="J49" s="13">
        <v>215</v>
      </c>
      <c r="K49" s="13">
        <v>181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210"/>
      <c r="S49" s="211"/>
      <c r="T49" s="16"/>
      <c r="U49" s="16" t="s">
        <v>85</v>
      </c>
      <c r="V49" s="16" t="s">
        <v>86</v>
      </c>
      <c r="W49" s="16" t="s">
        <v>94</v>
      </c>
      <c r="X49" s="16" t="s">
        <v>89</v>
      </c>
      <c r="Y49" s="16" t="s">
        <v>95</v>
      </c>
      <c r="Z49" s="16" t="s">
        <v>91</v>
      </c>
      <c r="AA49" s="2">
        <v>181000</v>
      </c>
      <c r="AG49" s="18"/>
    </row>
    <row r="50" spans="1:33" ht="12.75">
      <c r="A50" s="164"/>
      <c r="B50" s="167"/>
      <c r="C50" s="96"/>
      <c r="D50" s="96"/>
      <c r="E50" s="145"/>
      <c r="F50" s="8"/>
      <c r="G50" s="12" t="s">
        <v>14</v>
      </c>
      <c r="H50" s="13">
        <f t="shared" si="18"/>
        <v>226</v>
      </c>
      <c r="I50" s="13">
        <f>K50+M50+O50+Q50</f>
        <v>180.6</v>
      </c>
      <c r="J50" s="13">
        <v>226</v>
      </c>
      <c r="K50" s="13">
        <v>180.6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210"/>
      <c r="S50" s="211"/>
      <c r="T50" s="16"/>
      <c r="U50" s="16" t="s">
        <v>85</v>
      </c>
      <c r="V50" s="16" t="s">
        <v>86</v>
      </c>
      <c r="W50" s="16" t="s">
        <v>97</v>
      </c>
      <c r="X50" s="16" t="s">
        <v>100</v>
      </c>
      <c r="Y50" s="16" t="s">
        <v>95</v>
      </c>
      <c r="Z50" s="16" t="s">
        <v>91</v>
      </c>
      <c r="AG50" s="18"/>
    </row>
    <row r="51" spans="1:33" ht="12.75">
      <c r="A51" s="164"/>
      <c r="B51" s="167"/>
      <c r="C51" s="96"/>
      <c r="D51" s="96"/>
      <c r="E51" s="145"/>
      <c r="F51" s="8"/>
      <c r="G51" s="12" t="s">
        <v>15</v>
      </c>
      <c r="H51" s="13">
        <f t="shared" si="18"/>
        <v>237.1</v>
      </c>
      <c r="I51" s="13">
        <f t="shared" si="18"/>
        <v>181</v>
      </c>
      <c r="J51" s="13">
        <v>237.1</v>
      </c>
      <c r="K51" s="13">
        <v>181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210"/>
      <c r="S51" s="211"/>
      <c r="T51" s="16"/>
      <c r="U51" s="16" t="s">
        <v>85</v>
      </c>
      <c r="V51" s="16" t="s">
        <v>86</v>
      </c>
      <c r="W51" s="16" t="s">
        <v>97</v>
      </c>
      <c r="X51" s="16" t="s">
        <v>101</v>
      </c>
      <c r="Y51" s="16" t="s">
        <v>95</v>
      </c>
      <c r="Z51" s="16" t="s">
        <v>91</v>
      </c>
      <c r="AG51" s="18"/>
    </row>
    <row r="52" spans="1:33" ht="12.75">
      <c r="A52" s="164"/>
      <c r="B52" s="167"/>
      <c r="C52" s="96"/>
      <c r="D52" s="96"/>
      <c r="E52" s="145"/>
      <c r="F52" s="8"/>
      <c r="G52" s="12" t="s">
        <v>61</v>
      </c>
      <c r="H52" s="13">
        <f t="shared" si="18"/>
        <v>250</v>
      </c>
      <c r="I52" s="13">
        <f t="shared" si="18"/>
        <v>288.52</v>
      </c>
      <c r="J52" s="13">
        <v>250</v>
      </c>
      <c r="K52" s="13">
        <v>288.52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210"/>
      <c r="S52" s="211"/>
      <c r="T52" s="16"/>
      <c r="U52" s="16" t="s">
        <v>85</v>
      </c>
      <c r="V52" s="16" t="s">
        <v>102</v>
      </c>
      <c r="W52" s="16" t="s">
        <v>103</v>
      </c>
      <c r="X52" s="16" t="s">
        <v>104</v>
      </c>
      <c r="Y52" s="16" t="s">
        <v>95</v>
      </c>
      <c r="Z52" s="16" t="s">
        <v>91</v>
      </c>
      <c r="AG52" s="18"/>
    </row>
    <row r="53" spans="1:33" ht="12.75">
      <c r="A53" s="164"/>
      <c r="B53" s="167"/>
      <c r="C53" s="96" t="s">
        <v>163</v>
      </c>
      <c r="D53" s="96" t="s">
        <v>164</v>
      </c>
      <c r="E53" s="145"/>
      <c r="F53" s="8"/>
      <c r="G53" s="98" t="s">
        <v>110</v>
      </c>
      <c r="H53" s="99">
        <v>288.5</v>
      </c>
      <c r="I53" s="99">
        <v>288.5</v>
      </c>
      <c r="J53" s="99">
        <v>288.5</v>
      </c>
      <c r="K53" s="99">
        <v>288.5</v>
      </c>
      <c r="L53" s="99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210"/>
      <c r="S53" s="211"/>
      <c r="T53" s="27"/>
      <c r="U53" s="27"/>
      <c r="V53" s="27"/>
      <c r="W53" s="27"/>
      <c r="X53" s="27"/>
      <c r="Y53" s="27"/>
      <c r="Z53" s="27"/>
      <c r="AG53" s="18"/>
    </row>
    <row r="54" spans="1:33" ht="12.75">
      <c r="A54" s="164"/>
      <c r="B54" s="167"/>
      <c r="C54" s="96"/>
      <c r="D54" s="96"/>
      <c r="E54" s="145"/>
      <c r="F54" s="8"/>
      <c r="G54" s="98" t="s">
        <v>111</v>
      </c>
      <c r="H54" s="99">
        <f>J54</f>
        <v>300</v>
      </c>
      <c r="I54" s="99">
        <v>288.5</v>
      </c>
      <c r="J54" s="99">
        <v>300</v>
      </c>
      <c r="K54" s="99">
        <v>288.5</v>
      </c>
      <c r="L54" s="99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210"/>
      <c r="S54" s="211"/>
      <c r="T54" s="27"/>
      <c r="U54" s="27"/>
      <c r="V54" s="27"/>
      <c r="W54" s="27"/>
      <c r="X54" s="27"/>
      <c r="Y54" s="27"/>
      <c r="Z54" s="27"/>
      <c r="AG54" s="18"/>
    </row>
    <row r="55" spans="1:33" ht="20.25">
      <c r="A55" s="164"/>
      <c r="B55" s="167"/>
      <c r="C55" s="96"/>
      <c r="D55" s="96"/>
      <c r="E55" s="145"/>
      <c r="F55" s="8"/>
      <c r="G55" s="98" t="s">
        <v>112</v>
      </c>
      <c r="H55" s="99">
        <f>J55</f>
        <v>300</v>
      </c>
      <c r="I55" s="99">
        <v>288.5</v>
      </c>
      <c r="J55" s="99">
        <v>300</v>
      </c>
      <c r="K55" s="99">
        <v>288.5</v>
      </c>
      <c r="L55" s="99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210"/>
      <c r="S55" s="211"/>
      <c r="T55" s="87" t="s">
        <v>165</v>
      </c>
      <c r="U55" s="27"/>
      <c r="V55" s="27"/>
      <c r="W55" s="27"/>
      <c r="X55" s="27"/>
      <c r="Y55" s="27"/>
      <c r="Z55" s="27"/>
      <c r="AG55" s="18"/>
    </row>
    <row r="56" spans="1:33" ht="12.75">
      <c r="A56" s="164"/>
      <c r="B56" s="167"/>
      <c r="C56" s="96"/>
      <c r="D56" s="96"/>
      <c r="E56" s="145"/>
      <c r="F56" s="8"/>
      <c r="G56" s="98" t="s">
        <v>113</v>
      </c>
      <c r="H56" s="99">
        <f>J56</f>
        <v>300</v>
      </c>
      <c r="I56" s="99">
        <v>0</v>
      </c>
      <c r="J56" s="99">
        <v>300</v>
      </c>
      <c r="K56" s="99">
        <v>0</v>
      </c>
      <c r="L56" s="99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210"/>
      <c r="S56" s="211"/>
      <c r="T56" s="27"/>
      <c r="U56" s="27"/>
      <c r="V56" s="27"/>
      <c r="W56" s="27"/>
      <c r="X56" s="27"/>
      <c r="Y56" s="27"/>
      <c r="Z56" s="27"/>
      <c r="AG56" s="18"/>
    </row>
    <row r="57" spans="1:33" ht="12.75">
      <c r="A57" s="165"/>
      <c r="B57" s="168"/>
      <c r="C57" s="97"/>
      <c r="D57" s="97"/>
      <c r="E57" s="146"/>
      <c r="F57" s="8"/>
      <c r="G57" s="98" t="s">
        <v>72</v>
      </c>
      <c r="H57" s="99">
        <f>J57</f>
        <v>300</v>
      </c>
      <c r="I57" s="99">
        <v>0</v>
      </c>
      <c r="J57" s="99">
        <v>300</v>
      </c>
      <c r="K57" s="99">
        <v>0</v>
      </c>
      <c r="L57" s="99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212"/>
      <c r="S57" s="213"/>
      <c r="T57" s="27"/>
      <c r="U57" s="27"/>
      <c r="V57" s="27"/>
      <c r="W57" s="27"/>
      <c r="X57" s="27"/>
      <c r="Y57" s="27"/>
      <c r="Z57" s="27"/>
      <c r="AG57" s="18"/>
    </row>
    <row r="58" spans="1:33" ht="12.75">
      <c r="A58" s="163">
        <f>A46+1</f>
        <v>4</v>
      </c>
      <c r="B58" s="166" t="s">
        <v>20</v>
      </c>
      <c r="C58" s="95"/>
      <c r="D58" s="95"/>
      <c r="E58" s="144" t="s">
        <v>50</v>
      </c>
      <c r="F58" s="8"/>
      <c r="G58" s="9" t="s">
        <v>9</v>
      </c>
      <c r="H58" s="10">
        <f aca="true" t="shared" si="19" ref="H58:Q58">SUM(H59:H69)</f>
        <v>81906.14000000001</v>
      </c>
      <c r="I58" s="10">
        <f t="shared" si="19"/>
        <v>48241.28</v>
      </c>
      <c r="J58" s="10">
        <f t="shared" si="19"/>
        <v>81906.14000000001</v>
      </c>
      <c r="K58" s="10">
        <f t="shared" si="19"/>
        <v>48241.28</v>
      </c>
      <c r="L58" s="10">
        <f t="shared" si="19"/>
        <v>0</v>
      </c>
      <c r="M58" s="10">
        <f t="shared" si="19"/>
        <v>0</v>
      </c>
      <c r="N58" s="10">
        <f t="shared" si="19"/>
        <v>0</v>
      </c>
      <c r="O58" s="10">
        <f t="shared" si="19"/>
        <v>0</v>
      </c>
      <c r="P58" s="10">
        <f t="shared" si="19"/>
        <v>0</v>
      </c>
      <c r="Q58" s="10">
        <f t="shared" si="19"/>
        <v>0</v>
      </c>
      <c r="R58" s="208" t="s">
        <v>62</v>
      </c>
      <c r="S58" s="209"/>
      <c r="T58" s="11"/>
      <c r="AG58" s="18"/>
    </row>
    <row r="59" spans="1:33" ht="13.5" customHeight="1">
      <c r="A59" s="164"/>
      <c r="B59" s="167"/>
      <c r="C59" s="96"/>
      <c r="D59" s="96"/>
      <c r="E59" s="145"/>
      <c r="F59" s="8" t="s">
        <v>18</v>
      </c>
      <c r="G59" s="12" t="s">
        <v>13</v>
      </c>
      <c r="H59" s="13">
        <f aca="true" t="shared" si="20" ref="H59:I69">J59+L59+N59+P59</f>
        <v>4361.6</v>
      </c>
      <c r="I59" s="13">
        <f t="shared" si="20"/>
        <v>4211.2</v>
      </c>
      <c r="J59" s="13">
        <v>4361.6</v>
      </c>
      <c r="K59" s="13">
        <v>4211.2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210"/>
      <c r="S59" s="211"/>
      <c r="T59" s="14"/>
      <c r="U59" s="14" t="s">
        <v>73</v>
      </c>
      <c r="V59" s="14" t="s">
        <v>74</v>
      </c>
      <c r="W59" s="14" t="s">
        <v>75</v>
      </c>
      <c r="X59" s="14" t="s">
        <v>77</v>
      </c>
      <c r="Y59" s="14" t="s">
        <v>78</v>
      </c>
      <c r="Z59" s="14" t="s">
        <v>79</v>
      </c>
      <c r="AG59" s="18"/>
    </row>
    <row r="60" spans="1:33" ht="12.75">
      <c r="A60" s="164"/>
      <c r="B60" s="167"/>
      <c r="C60" s="96"/>
      <c r="D60" s="96"/>
      <c r="E60" s="145"/>
      <c r="F60" s="8"/>
      <c r="G60" s="12" t="s">
        <v>11</v>
      </c>
      <c r="H60" s="13">
        <f t="shared" si="20"/>
        <v>4592.8</v>
      </c>
      <c r="I60" s="13">
        <f t="shared" si="20"/>
        <v>4036.6</v>
      </c>
      <c r="J60" s="13">
        <v>4592.8</v>
      </c>
      <c r="K60" s="13">
        <v>4036.6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210"/>
      <c r="S60" s="211"/>
      <c r="T60" s="16"/>
      <c r="U60" s="16" t="s">
        <v>85</v>
      </c>
      <c r="V60" s="16" t="s">
        <v>86</v>
      </c>
      <c r="W60" s="16" t="s">
        <v>94</v>
      </c>
      <c r="X60" s="16" t="s">
        <v>89</v>
      </c>
      <c r="Y60" s="16" t="s">
        <v>95</v>
      </c>
      <c r="Z60" s="16" t="s">
        <v>91</v>
      </c>
      <c r="AA60" s="2">
        <v>3397700</v>
      </c>
      <c r="AG60" s="18"/>
    </row>
    <row r="61" spans="1:33" ht="12.75">
      <c r="A61" s="164"/>
      <c r="B61" s="167"/>
      <c r="C61" s="96"/>
      <c r="D61" s="96"/>
      <c r="E61" s="145"/>
      <c r="F61" s="8"/>
      <c r="G61" s="12" t="s">
        <v>12</v>
      </c>
      <c r="H61" s="13">
        <f t="shared" si="20"/>
        <v>4836.2</v>
      </c>
      <c r="I61" s="13">
        <f t="shared" si="20"/>
        <v>3396</v>
      </c>
      <c r="J61" s="13">
        <v>4836.2</v>
      </c>
      <c r="K61" s="13">
        <v>3396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210"/>
      <c r="S61" s="211"/>
      <c r="T61" s="16"/>
      <c r="U61" s="16" t="s">
        <v>85</v>
      </c>
      <c r="V61" s="16" t="s">
        <v>86</v>
      </c>
      <c r="W61" s="16" t="s">
        <v>97</v>
      </c>
      <c r="X61" s="16" t="s">
        <v>100</v>
      </c>
      <c r="Y61" s="16" t="s">
        <v>95</v>
      </c>
      <c r="Z61" s="16" t="s">
        <v>91</v>
      </c>
      <c r="AG61" s="18"/>
    </row>
    <row r="62" spans="1:33" ht="12.75">
      <c r="A62" s="164"/>
      <c r="B62" s="167"/>
      <c r="C62" s="96"/>
      <c r="D62" s="96"/>
      <c r="E62" s="145"/>
      <c r="F62" s="8"/>
      <c r="G62" s="12" t="s">
        <v>14</v>
      </c>
      <c r="H62" s="13">
        <f t="shared" si="20"/>
        <v>5082.8</v>
      </c>
      <c r="I62" s="13">
        <f t="shared" si="20"/>
        <v>3401.6</v>
      </c>
      <c r="J62" s="13">
        <v>5082.8</v>
      </c>
      <c r="K62" s="13">
        <v>3401.6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210"/>
      <c r="S62" s="211"/>
      <c r="T62" s="16"/>
      <c r="U62" s="16" t="s">
        <v>85</v>
      </c>
      <c r="V62" s="16" t="s">
        <v>86</v>
      </c>
      <c r="W62" s="16" t="s">
        <v>97</v>
      </c>
      <c r="X62" s="16" t="s">
        <v>101</v>
      </c>
      <c r="Y62" s="16" t="s">
        <v>95</v>
      </c>
      <c r="Z62" s="16" t="s">
        <v>91</v>
      </c>
      <c r="AG62" s="18"/>
    </row>
    <row r="63" spans="1:33" ht="12.75">
      <c r="A63" s="164"/>
      <c r="B63" s="167"/>
      <c r="C63" s="96"/>
      <c r="D63" s="96"/>
      <c r="E63" s="145"/>
      <c r="F63" s="8"/>
      <c r="G63" s="12" t="s">
        <v>15</v>
      </c>
      <c r="H63" s="13">
        <f t="shared" si="20"/>
        <v>5331.9</v>
      </c>
      <c r="I63" s="13">
        <f t="shared" si="20"/>
        <v>4609.4</v>
      </c>
      <c r="J63" s="13">
        <v>5331.9</v>
      </c>
      <c r="K63" s="13">
        <v>4609.4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210"/>
      <c r="S63" s="211"/>
      <c r="T63" s="16"/>
      <c r="U63" s="16" t="s">
        <v>85</v>
      </c>
      <c r="V63" s="16" t="s">
        <v>102</v>
      </c>
      <c r="W63" s="16" t="s">
        <v>103</v>
      </c>
      <c r="X63" s="16" t="s">
        <v>104</v>
      </c>
      <c r="Y63" s="16" t="s">
        <v>95</v>
      </c>
      <c r="Z63" s="16" t="s">
        <v>91</v>
      </c>
      <c r="AG63" s="18"/>
    </row>
    <row r="64" spans="1:33" ht="12.75">
      <c r="A64" s="164"/>
      <c r="B64" s="167"/>
      <c r="C64" s="96" t="s">
        <v>163</v>
      </c>
      <c r="D64" s="96" t="s">
        <v>164</v>
      </c>
      <c r="E64" s="145"/>
      <c r="F64" s="8"/>
      <c r="G64" s="12" t="s">
        <v>61</v>
      </c>
      <c r="H64" s="13">
        <f t="shared" si="20"/>
        <v>7176.3</v>
      </c>
      <c r="I64" s="13">
        <f t="shared" si="20"/>
        <v>5441.38</v>
      </c>
      <c r="J64" s="13">
        <v>7176.3</v>
      </c>
      <c r="K64" s="13">
        <v>5441.38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210"/>
      <c r="S64" s="211"/>
      <c r="T64" s="11"/>
      <c r="AG64" s="18"/>
    </row>
    <row r="65" spans="1:33" ht="12.75">
      <c r="A65" s="164"/>
      <c r="B65" s="167"/>
      <c r="C65" s="96"/>
      <c r="D65" s="96"/>
      <c r="E65" s="145"/>
      <c r="F65" s="8"/>
      <c r="G65" s="98" t="s">
        <v>110</v>
      </c>
      <c r="H65" s="99">
        <f t="shared" si="20"/>
        <v>12157.24</v>
      </c>
      <c r="I65" s="99">
        <f>K65</f>
        <v>12145.1</v>
      </c>
      <c r="J65" s="99">
        <v>12157.24</v>
      </c>
      <c r="K65" s="99">
        <v>12145.1</v>
      </c>
      <c r="L65" s="99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210"/>
      <c r="S65" s="211"/>
      <c r="T65" s="11"/>
      <c r="AG65" s="18"/>
    </row>
    <row r="66" spans="1:33" ht="12.75">
      <c r="A66" s="164"/>
      <c r="B66" s="167"/>
      <c r="C66" s="96"/>
      <c r="D66" s="96"/>
      <c r="E66" s="145"/>
      <c r="F66" s="8"/>
      <c r="G66" s="98" t="s">
        <v>111</v>
      </c>
      <c r="H66" s="99">
        <f>J66+L66+N66+P66</f>
        <v>7176.3</v>
      </c>
      <c r="I66" s="99">
        <v>5500</v>
      </c>
      <c r="J66" s="99">
        <v>7176.3</v>
      </c>
      <c r="K66" s="99">
        <v>5500</v>
      </c>
      <c r="L66" s="99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210"/>
      <c r="S66" s="211"/>
      <c r="T66" s="11"/>
      <c r="AG66" s="18"/>
    </row>
    <row r="67" spans="1:33" ht="12.75">
      <c r="A67" s="164"/>
      <c r="B67" s="167"/>
      <c r="C67" s="96"/>
      <c r="D67" s="96"/>
      <c r="E67" s="145"/>
      <c r="F67" s="8"/>
      <c r="G67" s="98" t="s">
        <v>112</v>
      </c>
      <c r="H67" s="99">
        <f>J67+L67+N67+P67</f>
        <v>7176.3</v>
      </c>
      <c r="I67" s="99">
        <v>5500</v>
      </c>
      <c r="J67" s="99">
        <v>7176.3</v>
      </c>
      <c r="K67" s="99">
        <v>5500</v>
      </c>
      <c r="L67" s="99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210"/>
      <c r="S67" s="211"/>
      <c r="T67" s="11"/>
      <c r="AG67" s="18"/>
    </row>
    <row r="68" spans="1:33" ht="12.75">
      <c r="A68" s="164"/>
      <c r="B68" s="167"/>
      <c r="C68" s="96"/>
      <c r="D68" s="96"/>
      <c r="E68" s="145"/>
      <c r="F68" s="8"/>
      <c r="G68" s="98" t="s">
        <v>113</v>
      </c>
      <c r="H68" s="99">
        <f t="shared" si="20"/>
        <v>7176.3</v>
      </c>
      <c r="I68" s="99">
        <f t="shared" si="20"/>
        <v>0</v>
      </c>
      <c r="J68" s="99">
        <v>7176.3</v>
      </c>
      <c r="K68" s="99">
        <v>0</v>
      </c>
      <c r="L68" s="99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210"/>
      <c r="S68" s="211"/>
      <c r="T68" s="11"/>
      <c r="AG68" s="18"/>
    </row>
    <row r="69" spans="1:33" ht="12.75">
      <c r="A69" s="165"/>
      <c r="B69" s="168"/>
      <c r="C69" s="97"/>
      <c r="D69" s="97"/>
      <c r="E69" s="146"/>
      <c r="F69" s="8"/>
      <c r="G69" s="12" t="s">
        <v>72</v>
      </c>
      <c r="H69" s="13">
        <f t="shared" si="20"/>
        <v>16838.4</v>
      </c>
      <c r="I69" s="13">
        <f t="shared" si="20"/>
        <v>0</v>
      </c>
      <c r="J69" s="13">
        <f>7176.3+9662.1</f>
        <v>16838.4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212"/>
      <c r="S69" s="213"/>
      <c r="T69" s="11"/>
      <c r="AG69" s="18"/>
    </row>
    <row r="70" spans="1:33" ht="12.75">
      <c r="A70" s="163">
        <f>A58+1</f>
        <v>5</v>
      </c>
      <c r="B70" s="144" t="s">
        <v>35</v>
      </c>
      <c r="C70" s="69"/>
      <c r="D70" s="69"/>
      <c r="E70" s="144"/>
      <c r="F70" s="8"/>
      <c r="G70" s="9" t="s">
        <v>9</v>
      </c>
      <c r="H70" s="10">
        <f aca="true" t="shared" si="21" ref="H70:Q70">SUM(H71:H81)</f>
        <v>30304.8</v>
      </c>
      <c r="I70" s="10">
        <f t="shared" si="21"/>
        <v>0</v>
      </c>
      <c r="J70" s="10">
        <f t="shared" si="21"/>
        <v>30304.8</v>
      </c>
      <c r="K70" s="10">
        <f t="shared" si="21"/>
        <v>0</v>
      </c>
      <c r="L70" s="10">
        <f t="shared" si="21"/>
        <v>0</v>
      </c>
      <c r="M70" s="10">
        <f t="shared" si="21"/>
        <v>0</v>
      </c>
      <c r="N70" s="10">
        <f t="shared" si="21"/>
        <v>0</v>
      </c>
      <c r="O70" s="10">
        <f t="shared" si="21"/>
        <v>0</v>
      </c>
      <c r="P70" s="10">
        <f t="shared" si="21"/>
        <v>0</v>
      </c>
      <c r="Q70" s="10">
        <f t="shared" si="21"/>
        <v>0</v>
      </c>
      <c r="R70" s="157" t="s">
        <v>134</v>
      </c>
      <c r="S70" s="158"/>
      <c r="T70" s="11"/>
      <c r="AG70" s="18"/>
    </row>
    <row r="71" spans="1:33" ht="13.5" customHeight="1">
      <c r="A71" s="164"/>
      <c r="B71" s="145"/>
      <c r="C71" s="70"/>
      <c r="D71" s="70"/>
      <c r="E71" s="145"/>
      <c r="F71" s="8" t="s">
        <v>23</v>
      </c>
      <c r="G71" s="12" t="s">
        <v>13</v>
      </c>
      <c r="H71" s="13">
        <f aca="true" t="shared" si="22" ref="H71:I76">J71+L71+N71+P71</f>
        <v>10151.4</v>
      </c>
      <c r="I71" s="13">
        <f t="shared" si="22"/>
        <v>0</v>
      </c>
      <c r="J71" s="13">
        <v>10151.4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59"/>
      <c r="S71" s="160"/>
      <c r="T71" s="14"/>
      <c r="U71" s="14" t="s">
        <v>73</v>
      </c>
      <c r="V71" s="14" t="s">
        <v>74</v>
      </c>
      <c r="W71" s="14" t="s">
        <v>75</v>
      </c>
      <c r="X71" s="14" t="s">
        <v>76</v>
      </c>
      <c r="Y71" s="14" t="s">
        <v>77</v>
      </c>
      <c r="Z71" s="14" t="s">
        <v>78</v>
      </c>
      <c r="AA71" s="14" t="s">
        <v>79</v>
      </c>
      <c r="AB71" s="14" t="s">
        <v>80</v>
      </c>
      <c r="AC71" s="14" t="s">
        <v>81</v>
      </c>
      <c r="AD71" s="14" t="s">
        <v>82</v>
      </c>
      <c r="AE71" s="14" t="s">
        <v>83</v>
      </c>
      <c r="AF71" s="14" t="s">
        <v>84</v>
      </c>
      <c r="AG71" s="18"/>
    </row>
    <row r="72" spans="1:33" ht="12.75">
      <c r="A72" s="164"/>
      <c r="B72" s="145"/>
      <c r="C72" s="70"/>
      <c r="D72" s="70"/>
      <c r="E72" s="145"/>
      <c r="F72" s="8"/>
      <c r="G72" s="12" t="s">
        <v>11</v>
      </c>
      <c r="H72" s="13">
        <f t="shared" si="22"/>
        <v>10689.4</v>
      </c>
      <c r="I72" s="13">
        <f t="shared" si="22"/>
        <v>0</v>
      </c>
      <c r="J72" s="13">
        <v>10689.4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59"/>
      <c r="S72" s="160"/>
      <c r="T72" s="16"/>
      <c r="U72" s="16" t="s">
        <v>85</v>
      </c>
      <c r="V72" s="16" t="s">
        <v>86</v>
      </c>
      <c r="W72" s="16" t="s">
        <v>87</v>
      </c>
      <c r="X72" s="16" t="s">
        <v>88</v>
      </c>
      <c r="Y72" s="16" t="s">
        <v>89</v>
      </c>
      <c r="Z72" s="16" t="s">
        <v>90</v>
      </c>
      <c r="AA72" s="16" t="s">
        <v>91</v>
      </c>
      <c r="AB72" s="16" t="s">
        <v>92</v>
      </c>
      <c r="AC72" s="16" t="s">
        <v>93</v>
      </c>
      <c r="AD72" s="17"/>
      <c r="AE72" s="17"/>
      <c r="AF72" s="17"/>
      <c r="AG72" s="18"/>
    </row>
    <row r="73" spans="1:33" ht="12.75">
      <c r="A73" s="164"/>
      <c r="B73" s="145"/>
      <c r="C73" s="70"/>
      <c r="D73" s="70"/>
      <c r="E73" s="145"/>
      <c r="F73" s="8"/>
      <c r="G73" s="12" t="s">
        <v>12</v>
      </c>
      <c r="H73" s="13">
        <f t="shared" si="22"/>
        <v>4732</v>
      </c>
      <c r="I73" s="13">
        <f t="shared" si="22"/>
        <v>0</v>
      </c>
      <c r="J73" s="13">
        <v>4732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59"/>
      <c r="S73" s="160"/>
      <c r="T73" s="16"/>
      <c r="U73" s="16" t="s">
        <v>85</v>
      </c>
      <c r="V73" s="16" t="s">
        <v>86</v>
      </c>
      <c r="W73" s="16" t="s">
        <v>94</v>
      </c>
      <c r="X73" s="16" t="s">
        <v>88</v>
      </c>
      <c r="Y73" s="16" t="s">
        <v>89</v>
      </c>
      <c r="Z73" s="16" t="s">
        <v>95</v>
      </c>
      <c r="AA73" s="16" t="s">
        <v>91</v>
      </c>
      <c r="AB73" s="16" t="s">
        <v>92</v>
      </c>
      <c r="AC73" s="16" t="s">
        <v>93</v>
      </c>
      <c r="AD73" s="17"/>
      <c r="AE73" s="17"/>
      <c r="AF73" s="17"/>
      <c r="AG73" s="18"/>
    </row>
    <row r="74" spans="1:33" ht="12.75">
      <c r="A74" s="164"/>
      <c r="B74" s="145"/>
      <c r="C74" s="70"/>
      <c r="D74" s="70"/>
      <c r="E74" s="145"/>
      <c r="F74" s="8"/>
      <c r="G74" s="12" t="s">
        <v>14</v>
      </c>
      <c r="H74" s="13">
        <f t="shared" si="22"/>
        <v>4732</v>
      </c>
      <c r="I74" s="13">
        <f t="shared" si="22"/>
        <v>0</v>
      </c>
      <c r="J74" s="13">
        <v>4732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59"/>
      <c r="S74" s="160"/>
      <c r="T74" s="16"/>
      <c r="U74" s="16" t="s">
        <v>85</v>
      </c>
      <c r="V74" s="16" t="s">
        <v>86</v>
      </c>
      <c r="W74" s="16" t="s">
        <v>94</v>
      </c>
      <c r="X74" s="16" t="s">
        <v>88</v>
      </c>
      <c r="Y74" s="16" t="s">
        <v>96</v>
      </c>
      <c r="Z74" s="16" t="s">
        <v>95</v>
      </c>
      <c r="AA74" s="16" t="s">
        <v>91</v>
      </c>
      <c r="AB74" s="16" t="s">
        <v>92</v>
      </c>
      <c r="AC74" s="16" t="s">
        <v>93</v>
      </c>
      <c r="AD74" s="17"/>
      <c r="AE74" s="17"/>
      <c r="AF74" s="17"/>
      <c r="AG74" s="18"/>
    </row>
    <row r="75" spans="1:33" ht="12.75">
      <c r="A75" s="164"/>
      <c r="B75" s="145"/>
      <c r="C75" s="70"/>
      <c r="D75" s="70"/>
      <c r="E75" s="145"/>
      <c r="F75" s="8"/>
      <c r="G75" s="12" t="s">
        <v>15</v>
      </c>
      <c r="H75" s="13">
        <f t="shared" si="22"/>
        <v>0</v>
      </c>
      <c r="I75" s="13">
        <f t="shared" si="22"/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59"/>
      <c r="S75" s="160"/>
      <c r="T75" s="16"/>
      <c r="U75" s="16" t="s">
        <v>85</v>
      </c>
      <c r="V75" s="16" t="s">
        <v>86</v>
      </c>
      <c r="W75" s="16" t="s">
        <v>97</v>
      </c>
      <c r="X75" s="16" t="s">
        <v>88</v>
      </c>
      <c r="Y75" s="16" t="s">
        <v>89</v>
      </c>
      <c r="Z75" s="16" t="s">
        <v>95</v>
      </c>
      <c r="AA75" s="16" t="s">
        <v>91</v>
      </c>
      <c r="AB75" s="16" t="s">
        <v>92</v>
      </c>
      <c r="AC75" s="16" t="s">
        <v>93</v>
      </c>
      <c r="AD75" s="17"/>
      <c r="AE75" s="17"/>
      <c r="AF75" s="17"/>
      <c r="AG75" s="18"/>
    </row>
    <row r="76" spans="1:33" ht="12.75">
      <c r="A76" s="164"/>
      <c r="B76" s="145"/>
      <c r="C76" s="70"/>
      <c r="D76" s="70"/>
      <c r="E76" s="145"/>
      <c r="F76" s="8"/>
      <c r="G76" s="12" t="s">
        <v>61</v>
      </c>
      <c r="H76" s="13">
        <f t="shared" si="22"/>
        <v>0</v>
      </c>
      <c r="I76" s="13">
        <f t="shared" si="22"/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59"/>
      <c r="S76" s="160"/>
      <c r="T76" s="11"/>
      <c r="AG76" s="18"/>
    </row>
    <row r="77" spans="1:33" ht="12.75">
      <c r="A77" s="164"/>
      <c r="B77" s="145"/>
      <c r="C77" s="70"/>
      <c r="D77" s="70"/>
      <c r="E77" s="145"/>
      <c r="F77" s="8"/>
      <c r="G77" s="12" t="s">
        <v>110</v>
      </c>
      <c r="H77" s="13">
        <f aca="true" t="shared" si="23" ref="H77:I81">J77+L77+N77+P77</f>
        <v>0</v>
      </c>
      <c r="I77" s="13">
        <f t="shared" si="23"/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59"/>
      <c r="S77" s="160"/>
      <c r="T77" s="11"/>
      <c r="AG77" s="18"/>
    </row>
    <row r="78" spans="1:33" ht="12.75">
      <c r="A78" s="164"/>
      <c r="B78" s="145"/>
      <c r="C78" s="70"/>
      <c r="D78" s="70"/>
      <c r="E78" s="145"/>
      <c r="F78" s="8"/>
      <c r="G78" s="12" t="s">
        <v>111</v>
      </c>
      <c r="H78" s="13">
        <f t="shared" si="23"/>
        <v>0</v>
      </c>
      <c r="I78" s="13">
        <f t="shared" si="23"/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59"/>
      <c r="S78" s="160"/>
      <c r="T78" s="11"/>
      <c r="AG78" s="18"/>
    </row>
    <row r="79" spans="1:33" ht="12.75">
      <c r="A79" s="164"/>
      <c r="B79" s="145"/>
      <c r="C79" s="70"/>
      <c r="D79" s="70"/>
      <c r="E79" s="145"/>
      <c r="F79" s="8"/>
      <c r="G79" s="12" t="s">
        <v>112</v>
      </c>
      <c r="H79" s="13">
        <f t="shared" si="23"/>
        <v>0</v>
      </c>
      <c r="I79" s="13">
        <f t="shared" si="23"/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59"/>
      <c r="S79" s="160"/>
      <c r="T79" s="11"/>
      <c r="AG79" s="18"/>
    </row>
    <row r="80" spans="1:33" ht="12.75">
      <c r="A80" s="164"/>
      <c r="B80" s="145"/>
      <c r="C80" s="70"/>
      <c r="D80" s="70"/>
      <c r="E80" s="145"/>
      <c r="F80" s="8"/>
      <c r="G80" s="12" t="s">
        <v>113</v>
      </c>
      <c r="H80" s="13">
        <f t="shared" si="23"/>
        <v>0</v>
      </c>
      <c r="I80" s="13">
        <f t="shared" si="23"/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59"/>
      <c r="S80" s="160"/>
      <c r="T80" s="11"/>
      <c r="AG80" s="18"/>
    </row>
    <row r="81" spans="1:33" ht="12.75">
      <c r="A81" s="165"/>
      <c r="B81" s="146"/>
      <c r="C81" s="71"/>
      <c r="D81" s="71"/>
      <c r="E81" s="146"/>
      <c r="F81" s="8"/>
      <c r="G81" s="12" t="s">
        <v>72</v>
      </c>
      <c r="H81" s="13">
        <f t="shared" si="23"/>
        <v>0</v>
      </c>
      <c r="I81" s="13">
        <f t="shared" si="23"/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61"/>
      <c r="S81" s="162"/>
      <c r="T81" s="11"/>
      <c r="AG81" s="18"/>
    </row>
    <row r="82" spans="1:33" ht="12.75">
      <c r="A82" s="163">
        <f>A70+1</f>
        <v>6</v>
      </c>
      <c r="B82" s="144" t="s">
        <v>24</v>
      </c>
      <c r="C82" s="69"/>
      <c r="D82" s="69"/>
      <c r="E82" s="144" t="s">
        <v>50</v>
      </c>
      <c r="F82" s="8"/>
      <c r="G82" s="9" t="s">
        <v>9</v>
      </c>
      <c r="H82" s="10">
        <f aca="true" t="shared" si="24" ref="H82:Q82">SUM(H83:H93)</f>
        <v>10077.2</v>
      </c>
      <c r="I82" s="10">
        <f t="shared" si="24"/>
        <v>6620.4</v>
      </c>
      <c r="J82" s="10">
        <f t="shared" si="24"/>
        <v>10077.2</v>
      </c>
      <c r="K82" s="10">
        <f t="shared" si="24"/>
        <v>6620.4</v>
      </c>
      <c r="L82" s="10">
        <f t="shared" si="24"/>
        <v>0</v>
      </c>
      <c r="M82" s="10">
        <f t="shared" si="24"/>
        <v>0</v>
      </c>
      <c r="N82" s="10">
        <f t="shared" si="24"/>
        <v>0</v>
      </c>
      <c r="O82" s="10">
        <f t="shared" si="24"/>
        <v>0</v>
      </c>
      <c r="P82" s="10">
        <f t="shared" si="24"/>
        <v>0</v>
      </c>
      <c r="Q82" s="10">
        <f t="shared" si="24"/>
        <v>0</v>
      </c>
      <c r="R82" s="157" t="s">
        <v>134</v>
      </c>
      <c r="S82" s="158"/>
      <c r="T82" s="11"/>
      <c r="AG82" s="18"/>
    </row>
    <row r="83" spans="1:33" ht="12.75" customHeight="1">
      <c r="A83" s="164"/>
      <c r="B83" s="145"/>
      <c r="C83" s="70"/>
      <c r="D83" s="70"/>
      <c r="E83" s="145"/>
      <c r="F83" s="8" t="s">
        <v>18</v>
      </c>
      <c r="G83" s="12" t="s">
        <v>13</v>
      </c>
      <c r="H83" s="13">
        <f aca="true" t="shared" si="25" ref="H83:I88">J83+L83+N83+P83</f>
        <v>1234.8</v>
      </c>
      <c r="I83" s="13">
        <f t="shared" si="25"/>
        <v>774</v>
      </c>
      <c r="J83" s="13">
        <v>1234.8</v>
      </c>
      <c r="K83" s="13">
        <v>774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59"/>
      <c r="S83" s="160"/>
      <c r="T83" s="14"/>
      <c r="U83" s="14" t="s">
        <v>73</v>
      </c>
      <c r="V83" s="14" t="s">
        <v>74</v>
      </c>
      <c r="W83" s="14" t="s">
        <v>75</v>
      </c>
      <c r="X83" s="14" t="s">
        <v>76</v>
      </c>
      <c r="Y83" s="14" t="s">
        <v>77</v>
      </c>
      <c r="Z83" s="14" t="s">
        <v>78</v>
      </c>
      <c r="AA83" s="14" t="s">
        <v>79</v>
      </c>
      <c r="AB83" s="14" t="s">
        <v>80</v>
      </c>
      <c r="AC83" s="14" t="s">
        <v>81</v>
      </c>
      <c r="AD83" s="14" t="s">
        <v>82</v>
      </c>
      <c r="AE83" s="14" t="s">
        <v>83</v>
      </c>
      <c r="AF83" s="14" t="s">
        <v>84</v>
      </c>
      <c r="AG83" s="18"/>
    </row>
    <row r="84" spans="1:33" ht="12.75">
      <c r="A84" s="164"/>
      <c r="B84" s="145"/>
      <c r="C84" s="70"/>
      <c r="D84" s="70"/>
      <c r="E84" s="145"/>
      <c r="F84" s="8"/>
      <c r="G84" s="12" t="s">
        <v>11</v>
      </c>
      <c r="H84" s="13">
        <f t="shared" si="25"/>
        <v>3000.3</v>
      </c>
      <c r="I84" s="13">
        <f t="shared" si="25"/>
        <v>1185.1</v>
      </c>
      <c r="J84" s="13">
        <v>3000.3</v>
      </c>
      <c r="K84" s="13">
        <v>1185.1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59"/>
      <c r="S84" s="160"/>
      <c r="T84" s="16"/>
      <c r="U84" s="16" t="s">
        <v>85</v>
      </c>
      <c r="V84" s="16" t="s">
        <v>86</v>
      </c>
      <c r="W84" s="16" t="s">
        <v>87</v>
      </c>
      <c r="X84" s="16" t="s">
        <v>88</v>
      </c>
      <c r="Y84" s="16" t="s">
        <v>89</v>
      </c>
      <c r="Z84" s="16" t="s">
        <v>90</v>
      </c>
      <c r="AA84" s="16" t="s">
        <v>91</v>
      </c>
      <c r="AB84" s="16" t="s">
        <v>92</v>
      </c>
      <c r="AC84" s="16" t="s">
        <v>93</v>
      </c>
      <c r="AD84" s="17"/>
      <c r="AE84" s="17"/>
      <c r="AF84" s="17"/>
      <c r="AG84" s="18"/>
    </row>
    <row r="85" spans="1:33" ht="12.75">
      <c r="A85" s="164"/>
      <c r="B85" s="145"/>
      <c r="C85" s="70"/>
      <c r="D85" s="70"/>
      <c r="E85" s="145"/>
      <c r="F85" s="8"/>
      <c r="G85" s="12" t="s">
        <v>12</v>
      </c>
      <c r="H85" s="13">
        <f t="shared" si="25"/>
        <v>3000.3</v>
      </c>
      <c r="I85" s="13">
        <f t="shared" si="25"/>
        <v>2671.3</v>
      </c>
      <c r="J85" s="13">
        <v>3000.3</v>
      </c>
      <c r="K85" s="13">
        <f>2841.8-170.5</f>
        <v>2671.3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59"/>
      <c r="S85" s="160"/>
      <c r="T85" s="16"/>
      <c r="U85" s="16" t="s">
        <v>85</v>
      </c>
      <c r="V85" s="16" t="s">
        <v>86</v>
      </c>
      <c r="W85" s="16" t="s">
        <v>94</v>
      </c>
      <c r="X85" s="16" t="s">
        <v>88</v>
      </c>
      <c r="Y85" s="16" t="s">
        <v>89</v>
      </c>
      <c r="Z85" s="16" t="s">
        <v>95</v>
      </c>
      <c r="AA85" s="16" t="s">
        <v>91</v>
      </c>
      <c r="AB85" s="16" t="s">
        <v>92</v>
      </c>
      <c r="AC85" s="16" t="s">
        <v>93</v>
      </c>
      <c r="AD85" s="17">
        <f>1990000+10000</f>
        <v>2000000</v>
      </c>
      <c r="AE85" s="17">
        <v>2800000</v>
      </c>
      <c r="AF85" s="17">
        <v>2800000</v>
      </c>
      <c r="AG85" s="26">
        <f>1990000</f>
        <v>1990000</v>
      </c>
    </row>
    <row r="86" spans="1:33" ht="12.75">
      <c r="A86" s="164"/>
      <c r="B86" s="145"/>
      <c r="C86" s="70"/>
      <c r="D86" s="70"/>
      <c r="E86" s="145"/>
      <c r="F86" s="8"/>
      <c r="G86" s="12" t="s">
        <v>14</v>
      </c>
      <c r="H86" s="13">
        <f t="shared" si="25"/>
        <v>2841.8</v>
      </c>
      <c r="I86" s="13">
        <f t="shared" si="25"/>
        <v>1990</v>
      </c>
      <c r="J86" s="13">
        <v>2841.8</v>
      </c>
      <c r="K86" s="13">
        <v>1990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59"/>
      <c r="S86" s="160"/>
      <c r="T86" s="16"/>
      <c r="U86" s="16" t="s">
        <v>85</v>
      </c>
      <c r="V86" s="16" t="s">
        <v>86</v>
      </c>
      <c r="W86" s="16" t="s">
        <v>94</v>
      </c>
      <c r="X86" s="16" t="s">
        <v>88</v>
      </c>
      <c r="Y86" s="16" t="s">
        <v>96</v>
      </c>
      <c r="Z86" s="16" t="s">
        <v>95</v>
      </c>
      <c r="AA86" s="16" t="s">
        <v>91</v>
      </c>
      <c r="AB86" s="16" t="s">
        <v>92</v>
      </c>
      <c r="AC86" s="16" t="s">
        <v>93</v>
      </c>
      <c r="AD86" s="17"/>
      <c r="AE86" s="17"/>
      <c r="AF86" s="17"/>
      <c r="AG86" s="18"/>
    </row>
    <row r="87" spans="1:33" ht="12.75">
      <c r="A87" s="164"/>
      <c r="B87" s="145"/>
      <c r="C87" s="70"/>
      <c r="D87" s="70"/>
      <c r="E87" s="145"/>
      <c r="F87" s="8"/>
      <c r="G87" s="12" t="s">
        <v>15</v>
      </c>
      <c r="H87" s="13">
        <f t="shared" si="25"/>
        <v>0</v>
      </c>
      <c r="I87" s="13">
        <f t="shared" si="25"/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59"/>
      <c r="S87" s="160"/>
      <c r="T87" s="16"/>
      <c r="U87" s="16" t="s">
        <v>85</v>
      </c>
      <c r="V87" s="16" t="s">
        <v>86</v>
      </c>
      <c r="W87" s="16" t="s">
        <v>97</v>
      </c>
      <c r="X87" s="16" t="s">
        <v>88</v>
      </c>
      <c r="Y87" s="16" t="s">
        <v>89</v>
      </c>
      <c r="Z87" s="16" t="s">
        <v>95</v>
      </c>
      <c r="AA87" s="16" t="s">
        <v>91</v>
      </c>
      <c r="AB87" s="16" t="s">
        <v>92</v>
      </c>
      <c r="AC87" s="16" t="s">
        <v>93</v>
      </c>
      <c r="AD87" s="17"/>
      <c r="AE87" s="17"/>
      <c r="AF87" s="17"/>
      <c r="AG87" s="18"/>
    </row>
    <row r="88" spans="1:33" ht="12.75">
      <c r="A88" s="164"/>
      <c r="B88" s="145"/>
      <c r="C88" s="88"/>
      <c r="D88" s="88"/>
      <c r="E88" s="145"/>
      <c r="F88" s="8"/>
      <c r="G88" s="12" t="s">
        <v>61</v>
      </c>
      <c r="H88" s="13">
        <f t="shared" si="25"/>
        <v>0</v>
      </c>
      <c r="I88" s="13">
        <f t="shared" si="25"/>
        <v>0</v>
      </c>
      <c r="J88" s="13">
        <f aca="true" t="shared" si="26" ref="J88:J93">J87</f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59"/>
      <c r="S88" s="160"/>
      <c r="T88" s="11"/>
      <c r="AG88" s="18"/>
    </row>
    <row r="89" spans="1:33" ht="12.75">
      <c r="A89" s="164"/>
      <c r="B89" s="145"/>
      <c r="C89" s="70"/>
      <c r="D89" s="70"/>
      <c r="E89" s="145"/>
      <c r="F89" s="8"/>
      <c r="G89" s="12" t="s">
        <v>110</v>
      </c>
      <c r="H89" s="13">
        <f aca="true" t="shared" si="27" ref="H89:I93">J89+L89+N89+P89</f>
        <v>0</v>
      </c>
      <c r="I89" s="13">
        <f t="shared" si="27"/>
        <v>0</v>
      </c>
      <c r="J89" s="13">
        <f t="shared" si="26"/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59"/>
      <c r="S89" s="160"/>
      <c r="T89" s="11"/>
      <c r="AG89" s="18"/>
    </row>
    <row r="90" spans="1:33" ht="12.75">
      <c r="A90" s="164"/>
      <c r="B90" s="145"/>
      <c r="C90" s="70"/>
      <c r="D90" s="70"/>
      <c r="E90" s="145"/>
      <c r="F90" s="8"/>
      <c r="G90" s="12" t="s">
        <v>111</v>
      </c>
      <c r="H90" s="13">
        <f t="shared" si="27"/>
        <v>0</v>
      </c>
      <c r="I90" s="13">
        <f t="shared" si="27"/>
        <v>0</v>
      </c>
      <c r="J90" s="13">
        <f t="shared" si="26"/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59"/>
      <c r="S90" s="160"/>
      <c r="T90" s="11"/>
      <c r="AG90" s="18"/>
    </row>
    <row r="91" spans="1:33" ht="12.75">
      <c r="A91" s="164"/>
      <c r="B91" s="145"/>
      <c r="C91" s="70"/>
      <c r="D91" s="70"/>
      <c r="E91" s="145"/>
      <c r="F91" s="8"/>
      <c r="G91" s="12" t="s">
        <v>112</v>
      </c>
      <c r="H91" s="13">
        <f t="shared" si="27"/>
        <v>0</v>
      </c>
      <c r="I91" s="13">
        <f t="shared" si="27"/>
        <v>0</v>
      </c>
      <c r="J91" s="13">
        <f t="shared" si="26"/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59"/>
      <c r="S91" s="160"/>
      <c r="T91" s="11"/>
      <c r="AG91" s="18"/>
    </row>
    <row r="92" spans="1:33" ht="12.75">
      <c r="A92" s="164"/>
      <c r="B92" s="145"/>
      <c r="C92" s="70"/>
      <c r="D92" s="70"/>
      <c r="E92" s="145"/>
      <c r="F92" s="8"/>
      <c r="G92" s="12" t="s">
        <v>113</v>
      </c>
      <c r="H92" s="13">
        <f t="shared" si="27"/>
        <v>0</v>
      </c>
      <c r="I92" s="13">
        <f t="shared" si="27"/>
        <v>0</v>
      </c>
      <c r="J92" s="13">
        <f t="shared" si="26"/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59"/>
      <c r="S92" s="160"/>
      <c r="T92" s="11"/>
      <c r="AG92" s="18"/>
    </row>
    <row r="93" spans="1:33" ht="12.75">
      <c r="A93" s="165"/>
      <c r="B93" s="146"/>
      <c r="C93" s="71"/>
      <c r="D93" s="71"/>
      <c r="E93" s="146"/>
      <c r="F93" s="8"/>
      <c r="G93" s="12" t="s">
        <v>72</v>
      </c>
      <c r="H93" s="13">
        <f t="shared" si="27"/>
        <v>0</v>
      </c>
      <c r="I93" s="13">
        <f t="shared" si="27"/>
        <v>0</v>
      </c>
      <c r="J93" s="13">
        <f t="shared" si="26"/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61"/>
      <c r="S93" s="162"/>
      <c r="T93" s="11"/>
      <c r="AG93" s="18"/>
    </row>
    <row r="94" spans="1:33" ht="12.75">
      <c r="A94" s="163">
        <f>A82+1</f>
        <v>7</v>
      </c>
      <c r="B94" s="144" t="s">
        <v>47</v>
      </c>
      <c r="C94" s="69"/>
      <c r="D94" s="69"/>
      <c r="E94" s="144" t="s">
        <v>50</v>
      </c>
      <c r="F94" s="8"/>
      <c r="G94" s="9" t="s">
        <v>9</v>
      </c>
      <c r="H94" s="10">
        <f aca="true" t="shared" si="28" ref="H94:Q94">SUM(H95:H105)</f>
        <v>19814</v>
      </c>
      <c r="I94" s="10">
        <f t="shared" si="28"/>
        <v>6318.3</v>
      </c>
      <c r="J94" s="10">
        <f t="shared" si="28"/>
        <v>19814</v>
      </c>
      <c r="K94" s="10">
        <f t="shared" si="28"/>
        <v>6318.3</v>
      </c>
      <c r="L94" s="10">
        <f t="shared" si="28"/>
        <v>0</v>
      </c>
      <c r="M94" s="10">
        <f t="shared" si="28"/>
        <v>0</v>
      </c>
      <c r="N94" s="10">
        <f t="shared" si="28"/>
        <v>0</v>
      </c>
      <c r="O94" s="10">
        <f t="shared" si="28"/>
        <v>0</v>
      </c>
      <c r="P94" s="10">
        <f t="shared" si="28"/>
        <v>0</v>
      </c>
      <c r="Q94" s="10">
        <f t="shared" si="28"/>
        <v>0</v>
      </c>
      <c r="R94" s="157" t="s">
        <v>134</v>
      </c>
      <c r="S94" s="158"/>
      <c r="T94" s="11"/>
      <c r="AG94" s="18"/>
    </row>
    <row r="95" spans="1:33" ht="13.5" customHeight="1">
      <c r="A95" s="164"/>
      <c r="B95" s="145"/>
      <c r="C95" s="70"/>
      <c r="D95" s="70"/>
      <c r="E95" s="145"/>
      <c r="F95" s="8" t="s">
        <v>27</v>
      </c>
      <c r="G95" s="12" t="s">
        <v>13</v>
      </c>
      <c r="H95" s="13">
        <f aca="true" t="shared" si="29" ref="H95:I100">J95+L95+N95+P95</f>
        <v>2500</v>
      </c>
      <c r="I95" s="13">
        <f t="shared" si="29"/>
        <v>1284.4</v>
      </c>
      <c r="J95" s="13">
        <v>2500</v>
      </c>
      <c r="K95" s="13">
        <v>1284.4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59"/>
      <c r="S95" s="160"/>
      <c r="T95" s="14"/>
      <c r="U95" s="14" t="s">
        <v>73</v>
      </c>
      <c r="V95" s="14" t="s">
        <v>74</v>
      </c>
      <c r="W95" s="14" t="s">
        <v>75</v>
      </c>
      <c r="X95" s="14" t="s">
        <v>76</v>
      </c>
      <c r="Y95" s="14" t="s">
        <v>77</v>
      </c>
      <c r="Z95" s="14" t="s">
        <v>78</v>
      </c>
      <c r="AA95" s="14" t="s">
        <v>79</v>
      </c>
      <c r="AB95" s="14" t="s">
        <v>80</v>
      </c>
      <c r="AC95" s="14" t="s">
        <v>81</v>
      </c>
      <c r="AD95" s="14" t="s">
        <v>82</v>
      </c>
      <c r="AE95" s="14" t="s">
        <v>83</v>
      </c>
      <c r="AF95" s="14" t="s">
        <v>84</v>
      </c>
      <c r="AG95" s="18"/>
    </row>
    <row r="96" spans="1:33" ht="12.75">
      <c r="A96" s="164"/>
      <c r="B96" s="145"/>
      <c r="C96" s="70"/>
      <c r="D96" s="70"/>
      <c r="E96" s="145"/>
      <c r="F96" s="8"/>
      <c r="G96" s="12" t="s">
        <v>11</v>
      </c>
      <c r="H96" s="13">
        <f t="shared" si="29"/>
        <v>2632.5</v>
      </c>
      <c r="I96" s="13">
        <f t="shared" si="29"/>
        <v>0</v>
      </c>
      <c r="J96" s="13">
        <v>2632.5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59"/>
      <c r="S96" s="160"/>
      <c r="T96" s="16"/>
      <c r="U96" s="16" t="s">
        <v>85</v>
      </c>
      <c r="V96" s="16" t="s">
        <v>86</v>
      </c>
      <c r="W96" s="16" t="s">
        <v>87</v>
      </c>
      <c r="X96" s="16" t="s">
        <v>88</v>
      </c>
      <c r="Y96" s="16" t="s">
        <v>89</v>
      </c>
      <c r="Z96" s="16" t="s">
        <v>90</v>
      </c>
      <c r="AA96" s="16" t="s">
        <v>91</v>
      </c>
      <c r="AB96" s="16" t="s">
        <v>92</v>
      </c>
      <c r="AC96" s="16" t="s">
        <v>93</v>
      </c>
      <c r="AD96" s="17"/>
      <c r="AE96" s="17"/>
      <c r="AF96" s="17"/>
      <c r="AG96" s="18"/>
    </row>
    <row r="97" spans="1:33" ht="12.75">
      <c r="A97" s="164"/>
      <c r="B97" s="145"/>
      <c r="C97" s="70"/>
      <c r="D97" s="70"/>
      <c r="E97" s="145"/>
      <c r="F97" s="8"/>
      <c r="G97" s="12" t="s">
        <v>12</v>
      </c>
      <c r="H97" s="13">
        <f t="shared" si="29"/>
        <v>3657.8</v>
      </c>
      <c r="I97" s="13">
        <f t="shared" si="29"/>
        <v>3168.7000000000003</v>
      </c>
      <c r="J97" s="13">
        <v>3657.8</v>
      </c>
      <c r="K97" s="13">
        <f>3657.8-180-63-249.1+3</f>
        <v>3168.7000000000003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59"/>
      <c r="S97" s="160"/>
      <c r="T97" s="16"/>
      <c r="U97" s="16" t="s">
        <v>85</v>
      </c>
      <c r="V97" s="16" t="s">
        <v>86</v>
      </c>
      <c r="W97" s="16" t="s">
        <v>94</v>
      </c>
      <c r="X97" s="16" t="s">
        <v>88</v>
      </c>
      <c r="Y97" s="16" t="s">
        <v>89</v>
      </c>
      <c r="Z97" s="16" t="s">
        <v>95</v>
      </c>
      <c r="AA97" s="16" t="s">
        <v>91</v>
      </c>
      <c r="AB97" s="16" t="s">
        <v>92</v>
      </c>
      <c r="AC97" s="16" t="s">
        <v>93</v>
      </c>
      <c r="AD97" s="17"/>
      <c r="AE97" s="17"/>
      <c r="AF97" s="17"/>
      <c r="AG97" s="18"/>
    </row>
    <row r="98" spans="1:33" ht="12.75">
      <c r="A98" s="164"/>
      <c r="B98" s="145"/>
      <c r="C98" s="70"/>
      <c r="D98" s="70"/>
      <c r="E98" s="145"/>
      <c r="F98" s="8"/>
      <c r="G98" s="12" t="s">
        <v>14</v>
      </c>
      <c r="H98" s="13">
        <f t="shared" si="29"/>
        <v>11023.7</v>
      </c>
      <c r="I98" s="13">
        <f t="shared" si="29"/>
        <v>1865.2</v>
      </c>
      <c r="J98" s="13">
        <v>11023.7</v>
      </c>
      <c r="K98" s="13">
        <f>1900-34.8</f>
        <v>1865.2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59"/>
      <c r="S98" s="160"/>
      <c r="T98" s="16"/>
      <c r="U98" s="16" t="s">
        <v>85</v>
      </c>
      <c r="V98" s="16" t="s">
        <v>86</v>
      </c>
      <c r="W98" s="16" t="s">
        <v>94</v>
      </c>
      <c r="X98" s="16" t="s">
        <v>88</v>
      </c>
      <c r="Y98" s="16" t="s">
        <v>96</v>
      </c>
      <c r="Z98" s="16" t="s">
        <v>95</v>
      </c>
      <c r="AA98" s="16" t="s">
        <v>91</v>
      </c>
      <c r="AB98" s="16" t="s">
        <v>92</v>
      </c>
      <c r="AC98" s="16" t="s">
        <v>93</v>
      </c>
      <c r="AD98" s="18">
        <f>830803.72+955371.16+79000</f>
        <v>1865174.88</v>
      </c>
      <c r="AE98" s="17">
        <v>1900000</v>
      </c>
      <c r="AF98" s="17">
        <v>1900000</v>
      </c>
      <c r="AG98" s="18">
        <f>830803.72+955371.16+79000</f>
        <v>1865174.88</v>
      </c>
    </row>
    <row r="99" spans="1:33" ht="12.75">
      <c r="A99" s="164"/>
      <c r="B99" s="145"/>
      <c r="C99" s="88"/>
      <c r="D99" s="88"/>
      <c r="E99" s="145"/>
      <c r="F99" s="8"/>
      <c r="G99" s="12" t="s">
        <v>15</v>
      </c>
      <c r="H99" s="13">
        <f t="shared" si="29"/>
        <v>0</v>
      </c>
      <c r="I99" s="13">
        <f t="shared" si="29"/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59"/>
      <c r="S99" s="160"/>
      <c r="T99" s="16"/>
      <c r="U99" s="16" t="s">
        <v>85</v>
      </c>
      <c r="V99" s="16" t="s">
        <v>86</v>
      </c>
      <c r="W99" s="16" t="s">
        <v>97</v>
      </c>
      <c r="X99" s="16" t="s">
        <v>88</v>
      </c>
      <c r="Y99" s="16" t="s">
        <v>89</v>
      </c>
      <c r="Z99" s="16" t="s">
        <v>95</v>
      </c>
      <c r="AA99" s="16" t="s">
        <v>91</v>
      </c>
      <c r="AB99" s="16" t="s">
        <v>92</v>
      </c>
      <c r="AC99" s="16" t="s">
        <v>93</v>
      </c>
      <c r="AD99" s="17"/>
      <c r="AE99" s="17"/>
      <c r="AF99" s="17"/>
      <c r="AG99" s="18"/>
    </row>
    <row r="100" spans="1:33" ht="12.75">
      <c r="A100" s="164"/>
      <c r="B100" s="145"/>
      <c r="C100" s="70"/>
      <c r="D100" s="70"/>
      <c r="E100" s="145"/>
      <c r="F100" s="8"/>
      <c r="G100" s="12" t="s">
        <v>61</v>
      </c>
      <c r="H100" s="13">
        <f t="shared" si="29"/>
        <v>0</v>
      </c>
      <c r="I100" s="13">
        <f t="shared" si="29"/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59"/>
      <c r="S100" s="160"/>
      <c r="T100" s="11"/>
      <c r="AG100" s="18"/>
    </row>
    <row r="101" spans="1:33" ht="12.75">
      <c r="A101" s="164"/>
      <c r="B101" s="145"/>
      <c r="C101" s="70"/>
      <c r="D101" s="70"/>
      <c r="E101" s="145"/>
      <c r="F101" s="8"/>
      <c r="G101" s="12" t="s">
        <v>110</v>
      </c>
      <c r="H101" s="13">
        <f aca="true" t="shared" si="30" ref="H101:I105">J101+L101+N101+P101</f>
        <v>0</v>
      </c>
      <c r="I101" s="13">
        <f t="shared" si="30"/>
        <v>0</v>
      </c>
      <c r="J101" s="13">
        <f>J100</f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59"/>
      <c r="S101" s="160"/>
      <c r="T101" s="11"/>
      <c r="AG101" s="18"/>
    </row>
    <row r="102" spans="1:33" ht="12.75">
      <c r="A102" s="164"/>
      <c r="B102" s="145"/>
      <c r="C102" s="70"/>
      <c r="D102" s="70"/>
      <c r="E102" s="145"/>
      <c r="F102" s="8"/>
      <c r="G102" s="12" t="s">
        <v>111</v>
      </c>
      <c r="H102" s="13">
        <f t="shared" si="30"/>
        <v>0</v>
      </c>
      <c r="I102" s="13">
        <f t="shared" si="30"/>
        <v>0</v>
      </c>
      <c r="J102" s="13">
        <f>J101</f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59"/>
      <c r="S102" s="160"/>
      <c r="T102" s="11"/>
      <c r="AG102" s="18"/>
    </row>
    <row r="103" spans="1:33" ht="12.75">
      <c r="A103" s="164"/>
      <c r="B103" s="145"/>
      <c r="C103" s="70"/>
      <c r="D103" s="70"/>
      <c r="E103" s="145"/>
      <c r="F103" s="8"/>
      <c r="G103" s="12" t="s">
        <v>112</v>
      </c>
      <c r="H103" s="13">
        <f t="shared" si="30"/>
        <v>0</v>
      </c>
      <c r="I103" s="13">
        <f t="shared" si="30"/>
        <v>0</v>
      </c>
      <c r="J103" s="13">
        <f>J102</f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59"/>
      <c r="S103" s="160"/>
      <c r="T103" s="11"/>
      <c r="AG103" s="18"/>
    </row>
    <row r="104" spans="1:33" ht="12.75">
      <c r="A104" s="164"/>
      <c r="B104" s="145"/>
      <c r="C104" s="70"/>
      <c r="D104" s="70"/>
      <c r="E104" s="145"/>
      <c r="F104" s="8"/>
      <c r="G104" s="12" t="s">
        <v>113</v>
      </c>
      <c r="H104" s="13">
        <f t="shared" si="30"/>
        <v>0</v>
      </c>
      <c r="I104" s="13">
        <f t="shared" si="30"/>
        <v>0</v>
      </c>
      <c r="J104" s="13">
        <f>J103</f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59"/>
      <c r="S104" s="160"/>
      <c r="T104" s="11"/>
      <c r="AG104" s="18"/>
    </row>
    <row r="105" spans="1:33" ht="12.75">
      <c r="A105" s="165"/>
      <c r="B105" s="146"/>
      <c r="C105" s="71"/>
      <c r="D105" s="71"/>
      <c r="E105" s="146"/>
      <c r="F105" s="8"/>
      <c r="G105" s="12" t="s">
        <v>72</v>
      </c>
      <c r="H105" s="13">
        <f t="shared" si="30"/>
        <v>0</v>
      </c>
      <c r="I105" s="13">
        <f t="shared" si="30"/>
        <v>0</v>
      </c>
      <c r="J105" s="13">
        <f>J104</f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61"/>
      <c r="S105" s="162"/>
      <c r="T105" s="11"/>
      <c r="AG105" s="18"/>
    </row>
    <row r="106" spans="1:33" ht="12.75">
      <c r="A106" s="163">
        <f>A94+1</f>
        <v>8</v>
      </c>
      <c r="B106" s="144" t="s">
        <v>28</v>
      </c>
      <c r="C106" s="69"/>
      <c r="D106" s="69"/>
      <c r="E106" s="144"/>
      <c r="F106" s="8"/>
      <c r="G106" s="9" t="s">
        <v>9</v>
      </c>
      <c r="H106" s="10">
        <f aca="true" t="shared" si="31" ref="H106:Q106">SUM(H107:H117)</f>
        <v>1879.5</v>
      </c>
      <c r="I106" s="10">
        <f t="shared" si="31"/>
        <v>0</v>
      </c>
      <c r="J106" s="10">
        <f t="shared" si="31"/>
        <v>1879.5</v>
      </c>
      <c r="K106" s="10">
        <f t="shared" si="31"/>
        <v>0</v>
      </c>
      <c r="L106" s="10">
        <f t="shared" si="31"/>
        <v>0</v>
      </c>
      <c r="M106" s="10">
        <f t="shared" si="31"/>
        <v>0</v>
      </c>
      <c r="N106" s="10">
        <f t="shared" si="31"/>
        <v>0</v>
      </c>
      <c r="O106" s="10">
        <f t="shared" si="31"/>
        <v>0</v>
      </c>
      <c r="P106" s="10">
        <f t="shared" si="31"/>
        <v>0</v>
      </c>
      <c r="Q106" s="10">
        <f t="shared" si="31"/>
        <v>0</v>
      </c>
      <c r="R106" s="157" t="s">
        <v>62</v>
      </c>
      <c r="S106" s="158"/>
      <c r="T106" s="11"/>
      <c r="AG106" s="18"/>
    </row>
    <row r="107" spans="1:33" ht="14.25" customHeight="1">
      <c r="A107" s="164"/>
      <c r="B107" s="145"/>
      <c r="C107" s="70"/>
      <c r="D107" s="70"/>
      <c r="E107" s="145"/>
      <c r="F107" s="8" t="s">
        <v>27</v>
      </c>
      <c r="G107" s="12" t="s">
        <v>13</v>
      </c>
      <c r="H107" s="13">
        <f aca="true" t="shared" si="32" ref="H107:I112">J107+L107+N107+P107</f>
        <v>200</v>
      </c>
      <c r="I107" s="13">
        <f t="shared" si="32"/>
        <v>0</v>
      </c>
      <c r="J107" s="13">
        <v>200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59"/>
      <c r="S107" s="160"/>
      <c r="T107" s="14"/>
      <c r="U107" s="14" t="s">
        <v>73</v>
      </c>
      <c r="V107" s="14" t="s">
        <v>74</v>
      </c>
      <c r="W107" s="14" t="s">
        <v>75</v>
      </c>
      <c r="X107" s="14" t="s">
        <v>77</v>
      </c>
      <c r="Y107" s="14" t="s">
        <v>78</v>
      </c>
      <c r="Z107" s="14" t="s">
        <v>79</v>
      </c>
      <c r="AG107" s="18"/>
    </row>
    <row r="108" spans="1:33" ht="12.75">
      <c r="A108" s="164"/>
      <c r="B108" s="145"/>
      <c r="C108" s="70"/>
      <c r="D108" s="70"/>
      <c r="E108" s="145"/>
      <c r="F108" s="8"/>
      <c r="G108" s="12" t="s">
        <v>11</v>
      </c>
      <c r="H108" s="13">
        <f t="shared" si="32"/>
        <v>210.6</v>
      </c>
      <c r="I108" s="13">
        <f t="shared" si="32"/>
        <v>0</v>
      </c>
      <c r="J108" s="13">
        <v>210.6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59"/>
      <c r="S108" s="160"/>
      <c r="T108" s="16"/>
      <c r="U108" s="16" t="s">
        <v>85</v>
      </c>
      <c r="V108" s="16" t="s">
        <v>86</v>
      </c>
      <c r="W108" s="16" t="s">
        <v>94</v>
      </c>
      <c r="X108" s="16" t="s">
        <v>89</v>
      </c>
      <c r="Y108" s="16" t="s">
        <v>95</v>
      </c>
      <c r="Z108" s="16" t="s">
        <v>91</v>
      </c>
      <c r="AG108" s="18"/>
    </row>
    <row r="109" spans="1:33" ht="12.75">
      <c r="A109" s="164"/>
      <c r="B109" s="145"/>
      <c r="C109" s="70"/>
      <c r="D109" s="70"/>
      <c r="E109" s="145"/>
      <c r="F109" s="8"/>
      <c r="G109" s="12" t="s">
        <v>12</v>
      </c>
      <c r="H109" s="13">
        <f t="shared" si="32"/>
        <v>221.8</v>
      </c>
      <c r="I109" s="13">
        <f t="shared" si="32"/>
        <v>0</v>
      </c>
      <c r="J109" s="13">
        <v>221.8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59"/>
      <c r="S109" s="160"/>
      <c r="T109" s="16"/>
      <c r="U109" s="16" t="s">
        <v>85</v>
      </c>
      <c r="V109" s="16" t="s">
        <v>86</v>
      </c>
      <c r="W109" s="16" t="s">
        <v>97</v>
      </c>
      <c r="X109" s="16" t="s">
        <v>100</v>
      </c>
      <c r="Y109" s="16" t="s">
        <v>95</v>
      </c>
      <c r="Z109" s="16" t="s">
        <v>91</v>
      </c>
      <c r="AG109" s="18"/>
    </row>
    <row r="110" spans="1:33" ht="12.75">
      <c r="A110" s="164"/>
      <c r="B110" s="145"/>
      <c r="C110" s="70"/>
      <c r="D110" s="70"/>
      <c r="E110" s="145"/>
      <c r="F110" s="8"/>
      <c r="G110" s="12" t="s">
        <v>14</v>
      </c>
      <c r="H110" s="13">
        <f t="shared" si="32"/>
        <v>233.1</v>
      </c>
      <c r="I110" s="13">
        <f t="shared" si="32"/>
        <v>0</v>
      </c>
      <c r="J110" s="13">
        <v>233.1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59"/>
      <c r="S110" s="160"/>
      <c r="T110" s="16"/>
      <c r="U110" s="16" t="s">
        <v>85</v>
      </c>
      <c r="V110" s="16" t="s">
        <v>86</v>
      </c>
      <c r="W110" s="16" t="s">
        <v>97</v>
      </c>
      <c r="X110" s="16" t="s">
        <v>101</v>
      </c>
      <c r="Y110" s="16" t="s">
        <v>95</v>
      </c>
      <c r="Z110" s="16" t="s">
        <v>91</v>
      </c>
      <c r="AG110" s="18"/>
    </row>
    <row r="111" spans="1:33" ht="12.75">
      <c r="A111" s="164"/>
      <c r="B111" s="145"/>
      <c r="C111" s="70"/>
      <c r="D111" s="70"/>
      <c r="E111" s="145"/>
      <c r="F111" s="8"/>
      <c r="G111" s="12" t="s">
        <v>15</v>
      </c>
      <c r="H111" s="13">
        <f t="shared" si="32"/>
        <v>244.5</v>
      </c>
      <c r="I111" s="13">
        <f t="shared" si="32"/>
        <v>0</v>
      </c>
      <c r="J111" s="13">
        <v>244.5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59"/>
      <c r="S111" s="160"/>
      <c r="T111" s="16"/>
      <c r="U111" s="16" t="s">
        <v>85</v>
      </c>
      <c r="V111" s="16" t="s">
        <v>102</v>
      </c>
      <c r="W111" s="16" t="s">
        <v>103</v>
      </c>
      <c r="X111" s="16" t="s">
        <v>104</v>
      </c>
      <c r="Y111" s="16" t="s">
        <v>95</v>
      </c>
      <c r="Z111" s="16" t="s">
        <v>91</v>
      </c>
      <c r="AG111" s="18"/>
    </row>
    <row r="112" spans="1:33" ht="12.75">
      <c r="A112" s="164"/>
      <c r="B112" s="145"/>
      <c r="C112" s="70"/>
      <c r="D112" s="70"/>
      <c r="E112" s="145"/>
      <c r="F112" s="8"/>
      <c r="G112" s="12" t="s">
        <v>61</v>
      </c>
      <c r="H112" s="13">
        <f t="shared" si="32"/>
        <v>256.5</v>
      </c>
      <c r="I112" s="13">
        <f t="shared" si="32"/>
        <v>0</v>
      </c>
      <c r="J112" s="13">
        <v>256.5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59"/>
      <c r="S112" s="160"/>
      <c r="T112" s="11"/>
      <c r="AG112" s="18"/>
    </row>
    <row r="113" spans="1:33" ht="12.75">
      <c r="A113" s="164"/>
      <c r="B113" s="145"/>
      <c r="C113" s="100" t="s">
        <v>163</v>
      </c>
      <c r="D113" s="100" t="s">
        <v>164</v>
      </c>
      <c r="E113" s="145"/>
      <c r="F113" s="8"/>
      <c r="G113" s="12" t="s">
        <v>110</v>
      </c>
      <c r="H113" s="13">
        <f aca="true" t="shared" si="33" ref="H113:I117">J113+L113+N113+P113</f>
        <v>0</v>
      </c>
      <c r="I113" s="13">
        <f t="shared" si="33"/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59"/>
      <c r="S113" s="160"/>
      <c r="T113" s="11"/>
      <c r="AG113" s="18"/>
    </row>
    <row r="114" spans="1:33" ht="12.75">
      <c r="A114" s="164"/>
      <c r="B114" s="145"/>
      <c r="C114" s="70"/>
      <c r="D114" s="70"/>
      <c r="E114" s="145"/>
      <c r="F114" s="8"/>
      <c r="G114" s="12" t="s">
        <v>111</v>
      </c>
      <c r="H114" s="13">
        <f t="shared" si="33"/>
        <v>256.5</v>
      </c>
      <c r="I114" s="13">
        <f t="shared" si="33"/>
        <v>0</v>
      </c>
      <c r="J114" s="13">
        <v>256.5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59"/>
      <c r="S114" s="160"/>
      <c r="T114" s="11"/>
      <c r="AG114" s="18"/>
    </row>
    <row r="115" spans="1:33" ht="12.75">
      <c r="A115" s="164"/>
      <c r="B115" s="145"/>
      <c r="C115" s="70"/>
      <c r="D115" s="70"/>
      <c r="E115" s="145"/>
      <c r="F115" s="8"/>
      <c r="G115" s="12" t="s">
        <v>112</v>
      </c>
      <c r="H115" s="13">
        <f t="shared" si="33"/>
        <v>0</v>
      </c>
      <c r="I115" s="13">
        <f t="shared" si="33"/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59"/>
      <c r="S115" s="160"/>
      <c r="T115" s="11"/>
      <c r="AG115" s="18"/>
    </row>
    <row r="116" spans="1:33" ht="12.75">
      <c r="A116" s="164"/>
      <c r="B116" s="145"/>
      <c r="C116" s="70"/>
      <c r="D116" s="70"/>
      <c r="E116" s="145"/>
      <c r="F116" s="8"/>
      <c r="G116" s="12" t="s">
        <v>113</v>
      </c>
      <c r="H116" s="13">
        <f t="shared" si="33"/>
        <v>0</v>
      </c>
      <c r="I116" s="13">
        <f t="shared" si="33"/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59"/>
      <c r="S116" s="160"/>
      <c r="T116" s="11"/>
      <c r="AG116" s="18"/>
    </row>
    <row r="117" spans="1:33" ht="12.75">
      <c r="A117" s="165"/>
      <c r="B117" s="146"/>
      <c r="C117" s="71"/>
      <c r="D117" s="71"/>
      <c r="E117" s="146"/>
      <c r="F117" s="8"/>
      <c r="G117" s="12" t="s">
        <v>72</v>
      </c>
      <c r="H117" s="13">
        <f t="shared" si="33"/>
        <v>256.5</v>
      </c>
      <c r="I117" s="13">
        <f t="shared" si="33"/>
        <v>0</v>
      </c>
      <c r="J117" s="13">
        <v>256.5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61"/>
      <c r="S117" s="162"/>
      <c r="T117" s="11"/>
      <c r="AG117" s="18"/>
    </row>
    <row r="118" spans="1:33" ht="12.75">
      <c r="A118" s="163">
        <v>9</v>
      </c>
      <c r="B118" s="144" t="s">
        <v>64</v>
      </c>
      <c r="C118" s="69"/>
      <c r="D118" s="69"/>
      <c r="E118" s="144"/>
      <c r="F118" s="8"/>
      <c r="G118" s="9" t="s">
        <v>9</v>
      </c>
      <c r="H118" s="10">
        <f aca="true" t="shared" si="34" ref="H118:Q118">SUM(H119:H129)</f>
        <v>1580.5</v>
      </c>
      <c r="I118" s="10">
        <f t="shared" si="34"/>
        <v>0</v>
      </c>
      <c r="J118" s="10">
        <f t="shared" si="34"/>
        <v>1580.5</v>
      </c>
      <c r="K118" s="10">
        <f t="shared" si="34"/>
        <v>0</v>
      </c>
      <c r="L118" s="10">
        <f t="shared" si="34"/>
        <v>0</v>
      </c>
      <c r="M118" s="10">
        <f t="shared" si="34"/>
        <v>0</v>
      </c>
      <c r="N118" s="10">
        <f t="shared" si="34"/>
        <v>0</v>
      </c>
      <c r="O118" s="10">
        <f t="shared" si="34"/>
        <v>0</v>
      </c>
      <c r="P118" s="10">
        <f t="shared" si="34"/>
        <v>0</v>
      </c>
      <c r="Q118" s="10">
        <f t="shared" si="34"/>
        <v>0</v>
      </c>
      <c r="R118" s="157" t="s">
        <v>135</v>
      </c>
      <c r="S118" s="158"/>
      <c r="T118" s="11"/>
      <c r="AG118" s="18"/>
    </row>
    <row r="119" spans="1:33" ht="13.5" customHeight="1">
      <c r="A119" s="164"/>
      <c r="B119" s="145"/>
      <c r="C119" s="70"/>
      <c r="D119" s="70"/>
      <c r="E119" s="145"/>
      <c r="F119" s="8" t="s">
        <v>30</v>
      </c>
      <c r="G119" s="12" t="s">
        <v>13</v>
      </c>
      <c r="H119" s="13">
        <f aca="true" t="shared" si="35" ref="H119:I124">J119+L119+N119+P119</f>
        <v>500</v>
      </c>
      <c r="I119" s="13">
        <f t="shared" si="35"/>
        <v>0</v>
      </c>
      <c r="J119" s="13">
        <v>500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59"/>
      <c r="S119" s="160"/>
      <c r="T119" s="14"/>
      <c r="U119" s="14" t="s">
        <v>73</v>
      </c>
      <c r="V119" s="14" t="s">
        <v>74</v>
      </c>
      <c r="W119" s="14" t="s">
        <v>75</v>
      </c>
      <c r="X119" s="14" t="s">
        <v>76</v>
      </c>
      <c r="Y119" s="14" t="s">
        <v>77</v>
      </c>
      <c r="Z119" s="14" t="s">
        <v>78</v>
      </c>
      <c r="AA119" s="14" t="s">
        <v>79</v>
      </c>
      <c r="AB119" s="14" t="s">
        <v>80</v>
      </c>
      <c r="AC119" s="14" t="s">
        <v>81</v>
      </c>
      <c r="AD119" s="14" t="s">
        <v>82</v>
      </c>
      <c r="AE119" s="14" t="s">
        <v>83</v>
      </c>
      <c r="AF119" s="14" t="s">
        <v>84</v>
      </c>
      <c r="AG119" s="18"/>
    </row>
    <row r="120" spans="1:33" ht="12.75">
      <c r="A120" s="164"/>
      <c r="B120" s="145"/>
      <c r="C120" s="70"/>
      <c r="D120" s="70"/>
      <c r="E120" s="145"/>
      <c r="F120" s="8"/>
      <c r="G120" s="12" t="s">
        <v>11</v>
      </c>
      <c r="H120" s="13">
        <f t="shared" si="35"/>
        <v>526.5</v>
      </c>
      <c r="I120" s="13">
        <f t="shared" si="35"/>
        <v>0</v>
      </c>
      <c r="J120" s="13">
        <v>526.5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59"/>
      <c r="S120" s="160"/>
      <c r="T120" s="16"/>
      <c r="U120" s="16" t="s">
        <v>85</v>
      </c>
      <c r="V120" s="16" t="s">
        <v>86</v>
      </c>
      <c r="W120" s="16" t="s">
        <v>87</v>
      </c>
      <c r="X120" s="16" t="s">
        <v>88</v>
      </c>
      <c r="Y120" s="16" t="s">
        <v>89</v>
      </c>
      <c r="Z120" s="16" t="s">
        <v>90</v>
      </c>
      <c r="AA120" s="16" t="s">
        <v>91</v>
      </c>
      <c r="AB120" s="16" t="s">
        <v>92</v>
      </c>
      <c r="AC120" s="16" t="s">
        <v>93</v>
      </c>
      <c r="AD120" s="17"/>
      <c r="AE120" s="17"/>
      <c r="AF120" s="17"/>
      <c r="AG120" s="18"/>
    </row>
    <row r="121" spans="1:33" ht="12.75">
      <c r="A121" s="164"/>
      <c r="B121" s="145"/>
      <c r="C121" s="70"/>
      <c r="D121" s="70"/>
      <c r="E121" s="145"/>
      <c r="F121" s="8"/>
      <c r="G121" s="12" t="s">
        <v>12</v>
      </c>
      <c r="H121" s="13">
        <f t="shared" si="35"/>
        <v>554</v>
      </c>
      <c r="I121" s="13">
        <f t="shared" si="35"/>
        <v>0</v>
      </c>
      <c r="J121" s="13">
        <v>554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59"/>
      <c r="S121" s="160"/>
      <c r="T121" s="16"/>
      <c r="U121" s="16" t="s">
        <v>85</v>
      </c>
      <c r="V121" s="16" t="s">
        <v>86</v>
      </c>
      <c r="W121" s="16" t="s">
        <v>94</v>
      </c>
      <c r="X121" s="16" t="s">
        <v>88</v>
      </c>
      <c r="Y121" s="16" t="s">
        <v>89</v>
      </c>
      <c r="Z121" s="16" t="s">
        <v>95</v>
      </c>
      <c r="AA121" s="16" t="s">
        <v>91</v>
      </c>
      <c r="AB121" s="16" t="s">
        <v>92</v>
      </c>
      <c r="AC121" s="16" t="s">
        <v>93</v>
      </c>
      <c r="AD121" s="17"/>
      <c r="AE121" s="17"/>
      <c r="AF121" s="17"/>
      <c r="AG121" s="18"/>
    </row>
    <row r="122" spans="1:33" ht="12.75">
      <c r="A122" s="164"/>
      <c r="B122" s="145"/>
      <c r="C122" s="70"/>
      <c r="D122" s="70"/>
      <c r="E122" s="145"/>
      <c r="F122" s="8"/>
      <c r="G122" s="12" t="s">
        <v>14</v>
      </c>
      <c r="H122" s="13">
        <f t="shared" si="35"/>
        <v>0</v>
      </c>
      <c r="I122" s="13">
        <f t="shared" si="35"/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59"/>
      <c r="S122" s="160"/>
      <c r="T122" s="16"/>
      <c r="U122" s="16" t="s">
        <v>85</v>
      </c>
      <c r="V122" s="16" t="s">
        <v>86</v>
      </c>
      <c r="W122" s="16" t="s">
        <v>94</v>
      </c>
      <c r="X122" s="16" t="s">
        <v>88</v>
      </c>
      <c r="Y122" s="16" t="s">
        <v>96</v>
      </c>
      <c r="Z122" s="16" t="s">
        <v>95</v>
      </c>
      <c r="AA122" s="16" t="s">
        <v>91</v>
      </c>
      <c r="AB122" s="16" t="s">
        <v>92</v>
      </c>
      <c r="AC122" s="16" t="s">
        <v>93</v>
      </c>
      <c r="AD122" s="17"/>
      <c r="AE122" s="17"/>
      <c r="AF122" s="17"/>
      <c r="AG122" s="18"/>
    </row>
    <row r="123" spans="1:33" ht="12.75">
      <c r="A123" s="164"/>
      <c r="B123" s="145"/>
      <c r="C123" s="70"/>
      <c r="D123" s="70"/>
      <c r="E123" s="145"/>
      <c r="F123" s="8"/>
      <c r="G123" s="12" t="s">
        <v>15</v>
      </c>
      <c r="H123" s="13">
        <f t="shared" si="35"/>
        <v>0</v>
      </c>
      <c r="I123" s="13">
        <f t="shared" si="35"/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59"/>
      <c r="S123" s="160"/>
      <c r="T123" s="16"/>
      <c r="U123" s="16" t="s">
        <v>85</v>
      </c>
      <c r="V123" s="16" t="s">
        <v>86</v>
      </c>
      <c r="W123" s="16" t="s">
        <v>97</v>
      </c>
      <c r="X123" s="16" t="s">
        <v>88</v>
      </c>
      <c r="Y123" s="16" t="s">
        <v>89</v>
      </c>
      <c r="Z123" s="16" t="s">
        <v>95</v>
      </c>
      <c r="AA123" s="16" t="s">
        <v>91</v>
      </c>
      <c r="AB123" s="16" t="s">
        <v>92</v>
      </c>
      <c r="AC123" s="16" t="s">
        <v>93</v>
      </c>
      <c r="AD123" s="17"/>
      <c r="AE123" s="17"/>
      <c r="AF123" s="17"/>
      <c r="AG123" s="18"/>
    </row>
    <row r="124" spans="1:33" ht="12.75">
      <c r="A124" s="164"/>
      <c r="B124" s="145"/>
      <c r="C124" s="70"/>
      <c r="D124" s="70"/>
      <c r="E124" s="145"/>
      <c r="F124" s="8"/>
      <c r="G124" s="12" t="s">
        <v>61</v>
      </c>
      <c r="H124" s="13">
        <f t="shared" si="35"/>
        <v>0</v>
      </c>
      <c r="I124" s="13">
        <f t="shared" si="35"/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59"/>
      <c r="S124" s="160"/>
      <c r="T124" s="11"/>
      <c r="AG124" s="18"/>
    </row>
    <row r="125" spans="1:33" ht="12.75">
      <c r="A125" s="164"/>
      <c r="B125" s="145"/>
      <c r="C125" s="70"/>
      <c r="D125" s="70"/>
      <c r="E125" s="145"/>
      <c r="F125" s="8"/>
      <c r="G125" s="12" t="s">
        <v>110</v>
      </c>
      <c r="H125" s="13">
        <f aca="true" t="shared" si="36" ref="H125:I129">J125+L125+N125+P125</f>
        <v>0</v>
      </c>
      <c r="I125" s="13">
        <f t="shared" si="36"/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59"/>
      <c r="S125" s="160"/>
      <c r="T125" s="11"/>
      <c r="AG125" s="18"/>
    </row>
    <row r="126" spans="1:33" ht="12.75">
      <c r="A126" s="164"/>
      <c r="B126" s="145"/>
      <c r="C126" s="70"/>
      <c r="D126" s="70"/>
      <c r="E126" s="145"/>
      <c r="F126" s="8"/>
      <c r="G126" s="12" t="s">
        <v>111</v>
      </c>
      <c r="H126" s="13">
        <f t="shared" si="36"/>
        <v>0</v>
      </c>
      <c r="I126" s="13">
        <f t="shared" si="36"/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59"/>
      <c r="S126" s="160"/>
      <c r="T126" s="11"/>
      <c r="AG126" s="18"/>
    </row>
    <row r="127" spans="1:33" ht="12.75">
      <c r="A127" s="164"/>
      <c r="B127" s="145"/>
      <c r="C127" s="70"/>
      <c r="D127" s="70"/>
      <c r="E127" s="145"/>
      <c r="F127" s="8"/>
      <c r="G127" s="12" t="s">
        <v>112</v>
      </c>
      <c r="H127" s="13">
        <f t="shared" si="36"/>
        <v>0</v>
      </c>
      <c r="I127" s="13">
        <f t="shared" si="36"/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59"/>
      <c r="S127" s="160"/>
      <c r="T127" s="11"/>
      <c r="AG127" s="18"/>
    </row>
    <row r="128" spans="1:33" ht="12.75">
      <c r="A128" s="164"/>
      <c r="B128" s="145"/>
      <c r="C128" s="70"/>
      <c r="D128" s="70"/>
      <c r="E128" s="145"/>
      <c r="F128" s="8"/>
      <c r="G128" s="12" t="s">
        <v>113</v>
      </c>
      <c r="H128" s="13">
        <f t="shared" si="36"/>
        <v>0</v>
      </c>
      <c r="I128" s="13">
        <f t="shared" si="36"/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59"/>
      <c r="S128" s="160"/>
      <c r="T128" s="11"/>
      <c r="AG128" s="18"/>
    </row>
    <row r="129" spans="1:33" ht="12.75">
      <c r="A129" s="165"/>
      <c r="B129" s="146"/>
      <c r="C129" s="71"/>
      <c r="D129" s="71"/>
      <c r="E129" s="146"/>
      <c r="F129" s="8"/>
      <c r="G129" s="12" t="s">
        <v>72</v>
      </c>
      <c r="H129" s="13">
        <f t="shared" si="36"/>
        <v>0</v>
      </c>
      <c r="I129" s="13">
        <f t="shared" si="36"/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61"/>
      <c r="S129" s="162"/>
      <c r="T129" s="11"/>
      <c r="AG129" s="18"/>
    </row>
    <row r="130" spans="1:33" ht="12" customHeight="1">
      <c r="A130" s="163">
        <v>10</v>
      </c>
      <c r="B130" s="166" t="s">
        <v>29</v>
      </c>
      <c r="C130" s="95"/>
      <c r="D130" s="95"/>
      <c r="E130" s="144" t="s">
        <v>109</v>
      </c>
      <c r="F130" s="8"/>
      <c r="G130" s="9" t="s">
        <v>9</v>
      </c>
      <c r="H130" s="10">
        <f aca="true" t="shared" si="37" ref="H130:Q130">SUM(H131:H141)</f>
        <v>39461.299999999996</v>
      </c>
      <c r="I130" s="10">
        <f t="shared" si="37"/>
        <v>20134.205929999996</v>
      </c>
      <c r="J130" s="10">
        <f t="shared" si="37"/>
        <v>39461.299999999996</v>
      </c>
      <c r="K130" s="10">
        <f t="shared" si="37"/>
        <v>20134.199999999997</v>
      </c>
      <c r="L130" s="10">
        <f t="shared" si="37"/>
        <v>0</v>
      </c>
      <c r="M130" s="10">
        <f t="shared" si="37"/>
        <v>0</v>
      </c>
      <c r="N130" s="10">
        <f t="shared" si="37"/>
        <v>0</v>
      </c>
      <c r="O130" s="10">
        <f t="shared" si="37"/>
        <v>0</v>
      </c>
      <c r="P130" s="10">
        <f t="shared" si="37"/>
        <v>0</v>
      </c>
      <c r="Q130" s="10">
        <f t="shared" si="37"/>
        <v>0</v>
      </c>
      <c r="R130" s="208" t="s">
        <v>62</v>
      </c>
      <c r="S130" s="209"/>
      <c r="T130" s="11"/>
      <c r="AG130" s="18"/>
    </row>
    <row r="131" spans="1:33" ht="12.75" customHeight="1">
      <c r="A131" s="164"/>
      <c r="B131" s="167"/>
      <c r="C131" s="96"/>
      <c r="D131" s="96"/>
      <c r="E131" s="145"/>
      <c r="F131" s="8" t="s">
        <v>30</v>
      </c>
      <c r="G131" s="12" t="s">
        <v>13</v>
      </c>
      <c r="H131" s="13">
        <f aca="true" t="shared" si="38" ref="H131:I136">J131+L131+N131+P131</f>
        <v>1485.2</v>
      </c>
      <c r="I131" s="13">
        <f t="shared" si="38"/>
        <v>0</v>
      </c>
      <c r="J131" s="13">
        <v>1485.2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210"/>
      <c r="S131" s="211"/>
      <c r="T131" s="14"/>
      <c r="U131" s="14" t="s">
        <v>73</v>
      </c>
      <c r="V131" s="14" t="s">
        <v>74</v>
      </c>
      <c r="W131" s="14" t="s">
        <v>75</v>
      </c>
      <c r="X131" s="14" t="s">
        <v>77</v>
      </c>
      <c r="Y131" s="14" t="s">
        <v>78</v>
      </c>
      <c r="Z131" s="14" t="s">
        <v>79</v>
      </c>
      <c r="AG131" s="18"/>
    </row>
    <row r="132" spans="1:33" ht="12.75">
      <c r="A132" s="164"/>
      <c r="B132" s="167"/>
      <c r="C132" s="96"/>
      <c r="D132" s="96"/>
      <c r="E132" s="145"/>
      <c r="F132" s="8"/>
      <c r="G132" s="12" t="s">
        <v>11</v>
      </c>
      <c r="H132" s="13">
        <f t="shared" si="38"/>
        <v>1845.6</v>
      </c>
      <c r="I132" s="13">
        <f t="shared" si="38"/>
        <v>1845.6</v>
      </c>
      <c r="J132" s="13">
        <v>1845.6</v>
      </c>
      <c r="K132" s="13">
        <v>1845.6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210"/>
      <c r="S132" s="211"/>
      <c r="T132" s="16"/>
      <c r="U132" s="16" t="s">
        <v>85</v>
      </c>
      <c r="V132" s="16" t="s">
        <v>86</v>
      </c>
      <c r="W132" s="16" t="s">
        <v>94</v>
      </c>
      <c r="X132" s="16" t="s">
        <v>89</v>
      </c>
      <c r="Y132" s="16" t="s">
        <v>95</v>
      </c>
      <c r="Z132" s="16" t="s">
        <v>91</v>
      </c>
      <c r="AG132" s="18"/>
    </row>
    <row r="133" spans="1:33" ht="12.75">
      <c r="A133" s="164"/>
      <c r="B133" s="167"/>
      <c r="C133" s="96"/>
      <c r="D133" s="96"/>
      <c r="E133" s="145"/>
      <c r="F133" s="8"/>
      <c r="G133" s="12" t="s">
        <v>12</v>
      </c>
      <c r="H133" s="13">
        <f t="shared" si="38"/>
        <v>1646.8</v>
      </c>
      <c r="I133" s="13">
        <f t="shared" si="38"/>
        <v>680.5999999999999</v>
      </c>
      <c r="J133" s="13">
        <v>1646.8</v>
      </c>
      <c r="K133" s="13">
        <f>1646.8-966.2</f>
        <v>680.5999999999999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210"/>
      <c r="S133" s="211"/>
      <c r="T133" s="16"/>
      <c r="U133" s="16" t="s">
        <v>85</v>
      </c>
      <c r="V133" s="16" t="s">
        <v>86</v>
      </c>
      <c r="W133" s="16" t="s">
        <v>97</v>
      </c>
      <c r="X133" s="16" t="s">
        <v>100</v>
      </c>
      <c r="Y133" s="16" t="s">
        <v>95</v>
      </c>
      <c r="Z133" s="16" t="s">
        <v>91</v>
      </c>
      <c r="AG133" s="18"/>
    </row>
    <row r="134" spans="1:33" ht="12.75">
      <c r="A134" s="164"/>
      <c r="B134" s="167"/>
      <c r="C134" s="96"/>
      <c r="D134" s="96"/>
      <c r="E134" s="145"/>
      <c r="F134" s="8"/>
      <c r="G134" s="12" t="s">
        <v>14</v>
      </c>
      <c r="H134" s="13">
        <f t="shared" si="38"/>
        <v>1730.8</v>
      </c>
      <c r="I134" s="13">
        <f t="shared" si="38"/>
        <v>1431</v>
      </c>
      <c r="J134" s="13">
        <v>1730.8</v>
      </c>
      <c r="K134" s="13">
        <f>1612-181</f>
        <v>1431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210"/>
      <c r="S134" s="211"/>
      <c r="T134" s="16"/>
      <c r="U134" s="16" t="s">
        <v>85</v>
      </c>
      <c r="V134" s="16" t="s">
        <v>86</v>
      </c>
      <c r="W134" s="16" t="s">
        <v>97</v>
      </c>
      <c r="X134" s="16" t="s">
        <v>101</v>
      </c>
      <c r="Y134" s="16" t="s">
        <v>95</v>
      </c>
      <c r="Z134" s="16" t="s">
        <v>91</v>
      </c>
      <c r="AG134" s="18"/>
    </row>
    <row r="135" spans="1:33" ht="12.75">
      <c r="A135" s="164"/>
      <c r="B135" s="167"/>
      <c r="C135" s="96"/>
      <c r="D135" s="96"/>
      <c r="E135" s="145"/>
      <c r="F135" s="8"/>
      <c r="G135" s="12" t="s">
        <v>15</v>
      </c>
      <c r="H135" s="13">
        <f t="shared" si="38"/>
        <v>4301.9</v>
      </c>
      <c r="I135" s="13">
        <f t="shared" si="38"/>
        <v>4301.9</v>
      </c>
      <c r="J135" s="13">
        <v>4301.9</v>
      </c>
      <c r="K135" s="13">
        <f>1611.1+2690.8</f>
        <v>4301.9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210"/>
      <c r="S135" s="211"/>
      <c r="T135" s="16"/>
      <c r="U135" s="16" t="s">
        <v>85</v>
      </c>
      <c r="V135" s="16" t="s">
        <v>102</v>
      </c>
      <c r="W135" s="16" t="s">
        <v>103</v>
      </c>
      <c r="X135" s="16" t="s">
        <v>104</v>
      </c>
      <c r="Y135" s="16" t="s">
        <v>95</v>
      </c>
      <c r="Z135" s="16" t="s">
        <v>91</v>
      </c>
      <c r="AA135" s="2">
        <v>1431000</v>
      </c>
      <c r="AG135" s="18"/>
    </row>
    <row r="136" spans="1:33" ht="12.75">
      <c r="A136" s="164"/>
      <c r="B136" s="167"/>
      <c r="C136" s="96" t="s">
        <v>163</v>
      </c>
      <c r="D136" s="96" t="s">
        <v>164</v>
      </c>
      <c r="E136" s="145"/>
      <c r="F136" s="8"/>
      <c r="G136" s="12" t="s">
        <v>61</v>
      </c>
      <c r="H136" s="13">
        <f t="shared" si="38"/>
        <v>3171.4</v>
      </c>
      <c r="I136" s="13">
        <v>472.30593</v>
      </c>
      <c r="J136" s="13">
        <v>3171.4</v>
      </c>
      <c r="K136" s="13">
        <v>472.3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210"/>
      <c r="S136" s="211"/>
      <c r="T136" s="11"/>
      <c r="AG136" s="18"/>
    </row>
    <row r="137" spans="1:33" ht="12.75">
      <c r="A137" s="164"/>
      <c r="B137" s="167"/>
      <c r="C137" s="96"/>
      <c r="D137" s="96"/>
      <c r="E137" s="145"/>
      <c r="F137" s="8"/>
      <c r="G137" s="98" t="s">
        <v>110</v>
      </c>
      <c r="H137" s="99">
        <f aca="true" t="shared" si="39" ref="H137:I141">J137+L137+N137+P137</f>
        <v>5059.2</v>
      </c>
      <c r="I137" s="99">
        <f t="shared" si="39"/>
        <v>5059.2</v>
      </c>
      <c r="J137" s="99">
        <v>5059.2</v>
      </c>
      <c r="K137" s="99">
        <v>5059.2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210"/>
      <c r="S137" s="211"/>
      <c r="T137" s="11"/>
      <c r="AG137" s="18"/>
    </row>
    <row r="138" spans="1:33" ht="12.75">
      <c r="A138" s="164"/>
      <c r="B138" s="167"/>
      <c r="C138" s="96"/>
      <c r="D138" s="96"/>
      <c r="E138" s="145"/>
      <c r="F138" s="8"/>
      <c r="G138" s="98" t="s">
        <v>111</v>
      </c>
      <c r="H138" s="99">
        <f>J138+L138+N138+P138</f>
        <v>5055.1</v>
      </c>
      <c r="I138" s="99">
        <f>K138+M138+O138+Q138</f>
        <v>3171.8</v>
      </c>
      <c r="J138" s="99">
        <v>5055.1</v>
      </c>
      <c r="K138" s="99">
        <v>3171.8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210"/>
      <c r="S138" s="211"/>
      <c r="T138" s="11"/>
      <c r="AG138" s="18"/>
    </row>
    <row r="139" spans="1:33" ht="12.75">
      <c r="A139" s="164"/>
      <c r="B139" s="167"/>
      <c r="C139" s="96"/>
      <c r="D139" s="96"/>
      <c r="E139" s="145"/>
      <c r="F139" s="8"/>
      <c r="G139" s="98" t="s">
        <v>112</v>
      </c>
      <c r="H139" s="99">
        <f>J139+L139+N139+P139</f>
        <v>5055.1</v>
      </c>
      <c r="I139" s="99">
        <f>K139+M139+O139+Q139</f>
        <v>3171.8</v>
      </c>
      <c r="J139" s="99">
        <v>5055.1</v>
      </c>
      <c r="K139" s="99">
        <v>3171.8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210"/>
      <c r="S139" s="211"/>
      <c r="T139" s="11"/>
      <c r="AG139" s="18"/>
    </row>
    <row r="140" spans="1:33" ht="12.75">
      <c r="A140" s="164"/>
      <c r="B140" s="167"/>
      <c r="C140" s="96"/>
      <c r="D140" s="96"/>
      <c r="E140" s="145"/>
      <c r="F140" s="8"/>
      <c r="G140" s="98" t="s">
        <v>113</v>
      </c>
      <c r="H140" s="99">
        <f t="shared" si="39"/>
        <v>5055.1</v>
      </c>
      <c r="I140" s="99">
        <f t="shared" si="39"/>
        <v>0</v>
      </c>
      <c r="J140" s="99">
        <v>5055.1</v>
      </c>
      <c r="K140" s="99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210"/>
      <c r="S140" s="211"/>
      <c r="T140" s="11"/>
      <c r="AG140" s="18"/>
    </row>
    <row r="141" spans="1:33" ht="12.75">
      <c r="A141" s="165"/>
      <c r="B141" s="168"/>
      <c r="C141" s="97"/>
      <c r="D141" s="97"/>
      <c r="E141" s="146"/>
      <c r="F141" s="8"/>
      <c r="G141" s="12" t="s">
        <v>72</v>
      </c>
      <c r="H141" s="13">
        <f t="shared" si="39"/>
        <v>5055.1</v>
      </c>
      <c r="I141" s="13">
        <f t="shared" si="39"/>
        <v>0</v>
      </c>
      <c r="J141" s="13">
        <v>5055.1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212"/>
      <c r="S141" s="213"/>
      <c r="T141" s="11"/>
      <c r="AG141" s="18"/>
    </row>
    <row r="142" spans="1:33" ht="12.75" customHeight="1">
      <c r="A142" s="163">
        <v>11</v>
      </c>
      <c r="B142" s="144" t="s">
        <v>59</v>
      </c>
      <c r="C142" s="84"/>
      <c r="D142" s="84"/>
      <c r="E142" s="144" t="s">
        <v>50</v>
      </c>
      <c r="F142" s="28"/>
      <c r="G142" s="9" t="s">
        <v>9</v>
      </c>
      <c r="H142" s="10">
        <f aca="true" t="shared" si="40" ref="H142:Q142">SUM(H143:H153)</f>
        <v>3950.2</v>
      </c>
      <c r="I142" s="10">
        <f t="shared" si="40"/>
        <v>341.4</v>
      </c>
      <c r="J142" s="10">
        <f t="shared" si="40"/>
        <v>3950.2</v>
      </c>
      <c r="K142" s="10">
        <f t="shared" si="40"/>
        <v>341.4</v>
      </c>
      <c r="L142" s="10">
        <f t="shared" si="40"/>
        <v>0</v>
      </c>
      <c r="M142" s="10">
        <f t="shared" si="40"/>
        <v>0</v>
      </c>
      <c r="N142" s="10">
        <f t="shared" si="40"/>
        <v>0</v>
      </c>
      <c r="O142" s="10">
        <f t="shared" si="40"/>
        <v>0</v>
      </c>
      <c r="P142" s="10">
        <f t="shared" si="40"/>
        <v>0</v>
      </c>
      <c r="Q142" s="10">
        <f t="shared" si="40"/>
        <v>0</v>
      </c>
      <c r="R142" s="157" t="s">
        <v>36</v>
      </c>
      <c r="S142" s="158"/>
      <c r="T142" s="11"/>
      <c r="AG142" s="18"/>
    </row>
    <row r="143" spans="1:33" ht="26.25">
      <c r="A143" s="164"/>
      <c r="B143" s="145"/>
      <c r="C143" s="85"/>
      <c r="D143" s="85"/>
      <c r="E143" s="145"/>
      <c r="F143" s="8" t="s">
        <v>18</v>
      </c>
      <c r="G143" s="12" t="s">
        <v>13</v>
      </c>
      <c r="H143" s="13">
        <f aca="true" t="shared" si="41" ref="H143:I148">J143+L143+N143+P143</f>
        <v>0</v>
      </c>
      <c r="I143" s="13">
        <f t="shared" si="41"/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59"/>
      <c r="S143" s="160"/>
      <c r="T143" s="11"/>
      <c r="AG143" s="18"/>
    </row>
    <row r="144" spans="1:33" ht="12.75">
      <c r="A144" s="164"/>
      <c r="B144" s="145"/>
      <c r="C144" s="85"/>
      <c r="D144" s="85"/>
      <c r="E144" s="145"/>
      <c r="F144" s="8"/>
      <c r="G144" s="12" t="s">
        <v>11</v>
      </c>
      <c r="H144" s="13">
        <f t="shared" si="41"/>
        <v>450.4</v>
      </c>
      <c r="I144" s="13">
        <f t="shared" si="41"/>
        <v>341.4</v>
      </c>
      <c r="J144" s="13">
        <v>450.4</v>
      </c>
      <c r="K144" s="20">
        <v>341.4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59"/>
      <c r="S144" s="160"/>
      <c r="T144" s="11"/>
      <c r="AG144" s="18"/>
    </row>
    <row r="145" spans="1:33" ht="12.75">
      <c r="A145" s="164"/>
      <c r="B145" s="145"/>
      <c r="C145" s="85"/>
      <c r="D145" s="85"/>
      <c r="E145" s="145"/>
      <c r="F145" s="8"/>
      <c r="G145" s="12" t="s">
        <v>12</v>
      </c>
      <c r="H145" s="13">
        <f t="shared" si="41"/>
        <v>527.6</v>
      </c>
      <c r="I145" s="13">
        <f t="shared" si="41"/>
        <v>0</v>
      </c>
      <c r="J145" s="21">
        <v>527.6</v>
      </c>
      <c r="K145" s="13">
        <v>0</v>
      </c>
      <c r="L145" s="22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59"/>
      <c r="S145" s="160"/>
      <c r="T145" s="11"/>
      <c r="AG145" s="18"/>
    </row>
    <row r="146" spans="1:33" ht="12.75">
      <c r="A146" s="164"/>
      <c r="B146" s="145"/>
      <c r="C146" s="85"/>
      <c r="D146" s="85"/>
      <c r="E146" s="145"/>
      <c r="F146" s="8"/>
      <c r="G146" s="12" t="s">
        <v>14</v>
      </c>
      <c r="H146" s="13">
        <f t="shared" si="41"/>
        <v>553.5</v>
      </c>
      <c r="I146" s="13">
        <f t="shared" si="41"/>
        <v>0</v>
      </c>
      <c r="J146" s="21">
        <v>553.5</v>
      </c>
      <c r="K146" s="13">
        <v>0</v>
      </c>
      <c r="L146" s="22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59"/>
      <c r="S146" s="160"/>
      <c r="T146" s="11"/>
      <c r="AG146" s="18"/>
    </row>
    <row r="147" spans="1:33" ht="12.75">
      <c r="A147" s="164"/>
      <c r="B147" s="145"/>
      <c r="C147" s="85"/>
      <c r="D147" s="85"/>
      <c r="E147" s="145"/>
      <c r="F147" s="8"/>
      <c r="G147" s="12" t="s">
        <v>15</v>
      </c>
      <c r="H147" s="13">
        <f t="shared" si="41"/>
        <v>582.1</v>
      </c>
      <c r="I147" s="13">
        <f t="shared" si="41"/>
        <v>0</v>
      </c>
      <c r="J147" s="21">
        <v>582.1</v>
      </c>
      <c r="K147" s="13">
        <v>0</v>
      </c>
      <c r="L147" s="22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59"/>
      <c r="S147" s="160"/>
      <c r="T147" s="11"/>
      <c r="AG147" s="18"/>
    </row>
    <row r="148" spans="1:33" ht="12.75">
      <c r="A148" s="164"/>
      <c r="B148" s="145"/>
      <c r="C148" s="85" t="s">
        <v>163</v>
      </c>
      <c r="D148" s="85" t="s">
        <v>164</v>
      </c>
      <c r="E148" s="145"/>
      <c r="F148" s="8"/>
      <c r="G148" s="12" t="s">
        <v>61</v>
      </c>
      <c r="H148" s="13">
        <f t="shared" si="41"/>
        <v>612.2</v>
      </c>
      <c r="I148" s="13">
        <f t="shared" si="41"/>
        <v>0</v>
      </c>
      <c r="J148" s="21">
        <v>612.2</v>
      </c>
      <c r="K148" s="13">
        <v>0</v>
      </c>
      <c r="L148" s="22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59"/>
      <c r="S148" s="160"/>
      <c r="T148" s="11"/>
      <c r="AG148" s="18"/>
    </row>
    <row r="149" spans="1:33" ht="12.75">
      <c r="A149" s="164"/>
      <c r="B149" s="145"/>
      <c r="C149" s="85"/>
      <c r="D149" s="85"/>
      <c r="E149" s="145"/>
      <c r="F149" s="8"/>
      <c r="G149" s="12" t="s">
        <v>110</v>
      </c>
      <c r="H149" s="13">
        <f aca="true" t="shared" si="42" ref="H149:I153">J149+L149+N149+P149</f>
        <v>0</v>
      </c>
      <c r="I149" s="13">
        <f t="shared" si="42"/>
        <v>0</v>
      </c>
      <c r="J149" s="21">
        <v>0</v>
      </c>
      <c r="K149" s="13">
        <v>0</v>
      </c>
      <c r="L149" s="22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59"/>
      <c r="S149" s="160"/>
      <c r="T149" s="11"/>
      <c r="AG149" s="18"/>
    </row>
    <row r="150" spans="1:33" ht="12.75">
      <c r="A150" s="164"/>
      <c r="B150" s="145"/>
      <c r="C150" s="85"/>
      <c r="D150" s="85"/>
      <c r="E150" s="145"/>
      <c r="F150" s="8"/>
      <c r="G150" s="12" t="s">
        <v>111</v>
      </c>
      <c r="H150" s="13">
        <f t="shared" si="42"/>
        <v>612.2</v>
      </c>
      <c r="I150" s="13">
        <f t="shared" si="42"/>
        <v>0</v>
      </c>
      <c r="J150" s="21">
        <v>612.2</v>
      </c>
      <c r="K150" s="13">
        <v>0</v>
      </c>
      <c r="L150" s="22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59"/>
      <c r="S150" s="160"/>
      <c r="T150" s="11"/>
      <c r="AG150" s="18"/>
    </row>
    <row r="151" spans="1:33" ht="12.75">
      <c r="A151" s="164"/>
      <c r="B151" s="145"/>
      <c r="C151" s="85"/>
      <c r="D151" s="85"/>
      <c r="E151" s="145"/>
      <c r="F151" s="8"/>
      <c r="G151" s="12" t="s">
        <v>112</v>
      </c>
      <c r="H151" s="13">
        <f t="shared" si="42"/>
        <v>0</v>
      </c>
      <c r="I151" s="13">
        <f t="shared" si="42"/>
        <v>0</v>
      </c>
      <c r="J151" s="21">
        <v>0</v>
      </c>
      <c r="K151" s="13">
        <v>0</v>
      </c>
      <c r="L151" s="22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59"/>
      <c r="S151" s="160"/>
      <c r="T151" s="11"/>
      <c r="AG151" s="18"/>
    </row>
    <row r="152" spans="1:33" ht="12.75">
      <c r="A152" s="164"/>
      <c r="B152" s="145"/>
      <c r="C152" s="85"/>
      <c r="D152" s="85"/>
      <c r="E152" s="145"/>
      <c r="F152" s="8"/>
      <c r="G152" s="12" t="s">
        <v>113</v>
      </c>
      <c r="H152" s="13">
        <f t="shared" si="42"/>
        <v>0</v>
      </c>
      <c r="I152" s="13">
        <f t="shared" si="42"/>
        <v>0</v>
      </c>
      <c r="J152" s="21">
        <v>0</v>
      </c>
      <c r="K152" s="13">
        <v>0</v>
      </c>
      <c r="L152" s="22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59"/>
      <c r="S152" s="160"/>
      <c r="T152" s="11"/>
      <c r="AG152" s="18"/>
    </row>
    <row r="153" spans="1:33" ht="12.75">
      <c r="A153" s="165"/>
      <c r="B153" s="146"/>
      <c r="C153" s="86"/>
      <c r="D153" s="86"/>
      <c r="E153" s="146"/>
      <c r="F153" s="8"/>
      <c r="G153" s="12" t="s">
        <v>72</v>
      </c>
      <c r="H153" s="13">
        <f t="shared" si="42"/>
        <v>612.2</v>
      </c>
      <c r="I153" s="13">
        <f t="shared" si="42"/>
        <v>0</v>
      </c>
      <c r="J153" s="21">
        <v>612.2</v>
      </c>
      <c r="K153" s="13">
        <v>0</v>
      </c>
      <c r="L153" s="22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61"/>
      <c r="S153" s="162"/>
      <c r="T153" s="11"/>
      <c r="AG153" s="18"/>
    </row>
    <row r="154" spans="1:33" ht="27.75" customHeight="1">
      <c r="A154" s="163">
        <f>A142+1</f>
        <v>12</v>
      </c>
      <c r="B154" s="166" t="s">
        <v>130</v>
      </c>
      <c r="C154" s="95"/>
      <c r="D154" s="95"/>
      <c r="E154" s="144" t="s">
        <v>50</v>
      </c>
      <c r="F154" s="8"/>
      <c r="G154" s="9" t="s">
        <v>9</v>
      </c>
      <c r="H154" s="10">
        <f aca="true" t="shared" si="43" ref="H154:Q154">SUM(H155:H165)</f>
        <v>7816.7</v>
      </c>
      <c r="I154" s="10">
        <f t="shared" si="43"/>
        <v>5657.182</v>
      </c>
      <c r="J154" s="10">
        <f t="shared" si="43"/>
        <v>7816.7</v>
      </c>
      <c r="K154" s="10">
        <f t="shared" si="43"/>
        <v>5657.182</v>
      </c>
      <c r="L154" s="10">
        <f t="shared" si="43"/>
        <v>0</v>
      </c>
      <c r="M154" s="10">
        <f t="shared" si="43"/>
        <v>0</v>
      </c>
      <c r="N154" s="10">
        <f t="shared" si="43"/>
        <v>0</v>
      </c>
      <c r="O154" s="10">
        <f t="shared" si="43"/>
        <v>0</v>
      </c>
      <c r="P154" s="10">
        <f t="shared" si="43"/>
        <v>0</v>
      </c>
      <c r="Q154" s="10">
        <f t="shared" si="43"/>
        <v>0</v>
      </c>
      <c r="R154" s="208" t="s">
        <v>62</v>
      </c>
      <c r="S154" s="209"/>
      <c r="T154" s="11"/>
      <c r="AG154" s="18"/>
    </row>
    <row r="155" spans="1:33" ht="27.75" customHeight="1">
      <c r="A155" s="164"/>
      <c r="B155" s="167"/>
      <c r="C155" s="96"/>
      <c r="D155" s="96"/>
      <c r="E155" s="145"/>
      <c r="F155" s="8"/>
      <c r="G155" s="12" t="s">
        <v>13</v>
      </c>
      <c r="H155" s="13">
        <f aca="true" t="shared" si="44" ref="H155:I160">J155+L155+N155+P155</f>
        <v>950</v>
      </c>
      <c r="I155" s="13">
        <f t="shared" si="44"/>
        <v>392.7</v>
      </c>
      <c r="J155" s="13">
        <v>950</v>
      </c>
      <c r="K155" s="13">
        <v>392.7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210"/>
      <c r="S155" s="211"/>
      <c r="T155" s="11"/>
      <c r="AG155" s="18"/>
    </row>
    <row r="156" spans="1:33" ht="27.75" customHeight="1">
      <c r="A156" s="164"/>
      <c r="B156" s="167"/>
      <c r="C156" s="96"/>
      <c r="D156" s="96"/>
      <c r="E156" s="145"/>
      <c r="F156" s="8"/>
      <c r="G156" s="12" t="s">
        <v>11</v>
      </c>
      <c r="H156" s="13">
        <f t="shared" si="44"/>
        <v>550</v>
      </c>
      <c r="I156" s="13">
        <f t="shared" si="44"/>
        <v>324.1</v>
      </c>
      <c r="J156" s="13">
        <v>550</v>
      </c>
      <c r="K156" s="13">
        <v>324.1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210"/>
      <c r="S156" s="211"/>
      <c r="T156" s="14"/>
      <c r="U156" s="14" t="s">
        <v>73</v>
      </c>
      <c r="V156" s="14" t="s">
        <v>74</v>
      </c>
      <c r="W156" s="14" t="s">
        <v>75</v>
      </c>
      <c r="X156" s="14" t="s">
        <v>77</v>
      </c>
      <c r="Y156" s="14" t="s">
        <v>78</v>
      </c>
      <c r="Z156" s="14" t="s">
        <v>79</v>
      </c>
      <c r="AG156" s="18"/>
    </row>
    <row r="157" spans="1:33" ht="27.75" customHeight="1">
      <c r="A157" s="164"/>
      <c r="B157" s="167"/>
      <c r="C157" s="96"/>
      <c r="D157" s="96"/>
      <c r="E157" s="145"/>
      <c r="F157" s="8"/>
      <c r="G157" s="12" t="s">
        <v>12</v>
      </c>
      <c r="H157" s="13">
        <f t="shared" si="44"/>
        <v>550</v>
      </c>
      <c r="I157" s="13">
        <f t="shared" si="44"/>
        <v>426.3</v>
      </c>
      <c r="J157" s="13">
        <v>550</v>
      </c>
      <c r="K157" s="13">
        <f>550-123.7</f>
        <v>426.3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210"/>
      <c r="S157" s="211"/>
      <c r="T157" s="16"/>
      <c r="U157" s="16" t="s">
        <v>85</v>
      </c>
      <c r="V157" s="16" t="s">
        <v>86</v>
      </c>
      <c r="W157" s="16" t="s">
        <v>94</v>
      </c>
      <c r="X157" s="16" t="s">
        <v>89</v>
      </c>
      <c r="Y157" s="16" t="s">
        <v>95</v>
      </c>
      <c r="Z157" s="16" t="s">
        <v>91</v>
      </c>
      <c r="AG157" s="18"/>
    </row>
    <row r="158" spans="1:33" ht="27.75" customHeight="1">
      <c r="A158" s="164"/>
      <c r="B158" s="167"/>
      <c r="C158" s="96"/>
      <c r="D158" s="96"/>
      <c r="E158" s="145"/>
      <c r="F158" s="8"/>
      <c r="G158" s="12" t="s">
        <v>14</v>
      </c>
      <c r="H158" s="13">
        <f t="shared" si="44"/>
        <v>553.6</v>
      </c>
      <c r="I158" s="13">
        <f t="shared" si="44"/>
        <v>550</v>
      </c>
      <c r="J158" s="13">
        <v>553.6</v>
      </c>
      <c r="K158" s="13">
        <v>550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210"/>
      <c r="S158" s="211"/>
      <c r="T158" s="16"/>
      <c r="U158" s="16" t="s">
        <v>85</v>
      </c>
      <c r="V158" s="16" t="s">
        <v>86</v>
      </c>
      <c r="W158" s="16" t="s">
        <v>97</v>
      </c>
      <c r="X158" s="16" t="s">
        <v>100</v>
      </c>
      <c r="Y158" s="16" t="s">
        <v>95</v>
      </c>
      <c r="Z158" s="16" t="s">
        <v>91</v>
      </c>
      <c r="AA158" s="2">
        <v>550000</v>
      </c>
      <c r="AG158" s="18"/>
    </row>
    <row r="159" spans="1:33" ht="27.75" customHeight="1">
      <c r="A159" s="164"/>
      <c r="B159" s="167"/>
      <c r="C159" s="96"/>
      <c r="D159" s="96"/>
      <c r="E159" s="145"/>
      <c r="F159" s="8"/>
      <c r="G159" s="12" t="s">
        <v>15</v>
      </c>
      <c r="H159" s="13">
        <f t="shared" si="44"/>
        <v>624.5</v>
      </c>
      <c r="I159" s="13">
        <f t="shared" si="44"/>
        <v>624.5</v>
      </c>
      <c r="J159" s="13">
        <v>624.5</v>
      </c>
      <c r="K159" s="13">
        <v>624.5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210"/>
      <c r="S159" s="211"/>
      <c r="T159" s="16"/>
      <c r="U159" s="16" t="s">
        <v>85</v>
      </c>
      <c r="V159" s="16" t="s">
        <v>86</v>
      </c>
      <c r="W159" s="16" t="s">
        <v>97</v>
      </c>
      <c r="X159" s="16" t="s">
        <v>101</v>
      </c>
      <c r="Y159" s="16" t="s">
        <v>95</v>
      </c>
      <c r="Z159" s="16" t="s">
        <v>91</v>
      </c>
      <c r="AG159" s="18"/>
    </row>
    <row r="160" spans="1:33" ht="27.75" customHeight="1">
      <c r="A160" s="164"/>
      <c r="B160" s="167"/>
      <c r="C160" s="96"/>
      <c r="D160" s="96"/>
      <c r="E160" s="145"/>
      <c r="F160" s="8"/>
      <c r="G160" s="12" t="s">
        <v>61</v>
      </c>
      <c r="H160" s="13">
        <v>1466.1</v>
      </c>
      <c r="I160" s="13">
        <f t="shared" si="44"/>
        <v>1466.082</v>
      </c>
      <c r="J160" s="13">
        <v>1466.1</v>
      </c>
      <c r="K160" s="13">
        <v>1466.082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210"/>
      <c r="S160" s="211"/>
      <c r="T160" s="16"/>
      <c r="U160" s="16" t="s">
        <v>85</v>
      </c>
      <c r="V160" s="16" t="s">
        <v>102</v>
      </c>
      <c r="W160" s="16" t="s">
        <v>103</v>
      </c>
      <c r="X160" s="16" t="s">
        <v>104</v>
      </c>
      <c r="Y160" s="16" t="s">
        <v>95</v>
      </c>
      <c r="Z160" s="16" t="s">
        <v>91</v>
      </c>
      <c r="AG160" s="18"/>
    </row>
    <row r="161" spans="1:33" ht="27.75" customHeight="1">
      <c r="A161" s="164"/>
      <c r="B161" s="167"/>
      <c r="C161" s="96" t="s">
        <v>163</v>
      </c>
      <c r="D161" s="96" t="s">
        <v>164</v>
      </c>
      <c r="E161" s="145"/>
      <c r="F161" s="8"/>
      <c r="G161" s="98" t="s">
        <v>110</v>
      </c>
      <c r="H161" s="99">
        <f aca="true" t="shared" si="45" ref="H161:I165">J161+L161+N161+P161</f>
        <v>624.5</v>
      </c>
      <c r="I161" s="99">
        <v>624.5</v>
      </c>
      <c r="J161" s="99">
        <f>K161</f>
        <v>624.5</v>
      </c>
      <c r="K161" s="99">
        <v>624.5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210"/>
      <c r="S161" s="211"/>
      <c r="T161" s="27"/>
      <c r="U161" s="27"/>
      <c r="V161" s="27"/>
      <c r="W161" s="27"/>
      <c r="X161" s="27"/>
      <c r="Y161" s="27"/>
      <c r="Z161" s="27"/>
      <c r="AG161" s="18"/>
    </row>
    <row r="162" spans="1:33" ht="27.75" customHeight="1">
      <c r="A162" s="164"/>
      <c r="B162" s="167"/>
      <c r="C162" s="96"/>
      <c r="D162" s="96"/>
      <c r="E162" s="145"/>
      <c r="F162" s="8"/>
      <c r="G162" s="98" t="s">
        <v>111</v>
      </c>
      <c r="H162" s="99">
        <f>J162+L162+N162+P162</f>
        <v>624.5</v>
      </c>
      <c r="I162" s="99">
        <v>624.5</v>
      </c>
      <c r="J162" s="99">
        <v>624.5</v>
      </c>
      <c r="K162" s="99">
        <v>624.5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210"/>
      <c r="S162" s="211"/>
      <c r="T162" s="27"/>
      <c r="U162" s="27"/>
      <c r="V162" s="27"/>
      <c r="W162" s="27"/>
      <c r="X162" s="27"/>
      <c r="Y162" s="27"/>
      <c r="Z162" s="27"/>
      <c r="AG162" s="18"/>
    </row>
    <row r="163" spans="1:33" ht="27.75" customHeight="1">
      <c r="A163" s="164"/>
      <c r="B163" s="167"/>
      <c r="C163" s="96"/>
      <c r="D163" s="96"/>
      <c r="E163" s="145"/>
      <c r="F163" s="8"/>
      <c r="G163" s="98" t="s">
        <v>112</v>
      </c>
      <c r="H163" s="99">
        <f>J163+L163+N163+P163</f>
        <v>624.5</v>
      </c>
      <c r="I163" s="99">
        <v>624.5</v>
      </c>
      <c r="J163" s="99">
        <v>624.5</v>
      </c>
      <c r="K163" s="99">
        <v>624.5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210"/>
      <c r="S163" s="211"/>
      <c r="T163" s="27"/>
      <c r="U163" s="27"/>
      <c r="V163" s="27"/>
      <c r="W163" s="27"/>
      <c r="X163" s="27"/>
      <c r="Y163" s="27"/>
      <c r="Z163" s="27"/>
      <c r="AG163" s="18"/>
    </row>
    <row r="164" spans="1:33" ht="27.75" customHeight="1">
      <c r="A164" s="164"/>
      <c r="B164" s="167"/>
      <c r="C164" s="96"/>
      <c r="D164" s="96"/>
      <c r="E164" s="145"/>
      <c r="F164" s="8"/>
      <c r="G164" s="98" t="s">
        <v>113</v>
      </c>
      <c r="H164" s="99">
        <f t="shared" si="45"/>
        <v>624.5</v>
      </c>
      <c r="I164" s="99">
        <f t="shared" si="45"/>
        <v>0</v>
      </c>
      <c r="J164" s="99">
        <v>624.5</v>
      </c>
      <c r="K164" s="99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210"/>
      <c r="S164" s="211"/>
      <c r="T164" s="27"/>
      <c r="U164" s="27"/>
      <c r="V164" s="27"/>
      <c r="W164" s="27"/>
      <c r="X164" s="27"/>
      <c r="Y164" s="27"/>
      <c r="Z164" s="27"/>
      <c r="AG164" s="18"/>
    </row>
    <row r="165" spans="1:33" ht="27.75" customHeight="1">
      <c r="A165" s="165"/>
      <c r="B165" s="168"/>
      <c r="C165" s="97"/>
      <c r="D165" s="97"/>
      <c r="E165" s="146"/>
      <c r="F165" s="8"/>
      <c r="G165" s="12" t="s">
        <v>72</v>
      </c>
      <c r="H165" s="13">
        <f t="shared" si="45"/>
        <v>624.5</v>
      </c>
      <c r="I165" s="13">
        <f t="shared" si="45"/>
        <v>0</v>
      </c>
      <c r="J165" s="13">
        <v>624.5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212"/>
      <c r="S165" s="213"/>
      <c r="T165" s="27"/>
      <c r="U165" s="27"/>
      <c r="V165" s="27"/>
      <c r="W165" s="27"/>
      <c r="X165" s="27"/>
      <c r="Y165" s="27"/>
      <c r="Z165" s="27"/>
      <c r="AG165" s="18"/>
    </row>
    <row r="166" spans="1:33" ht="18" customHeight="1">
      <c r="A166" s="163">
        <f>A154+1</f>
        <v>13</v>
      </c>
      <c r="B166" s="205" t="s">
        <v>31</v>
      </c>
      <c r="C166" s="74"/>
      <c r="D166" s="74"/>
      <c r="E166" s="144" t="s">
        <v>50</v>
      </c>
      <c r="F166" s="8"/>
      <c r="G166" s="9" t="s">
        <v>9</v>
      </c>
      <c r="H166" s="10">
        <f aca="true" t="shared" si="46" ref="H166:Q166">SUM(H167:H177)</f>
        <v>14222.400000000001</v>
      </c>
      <c r="I166" s="10">
        <f t="shared" si="46"/>
        <v>7114.1</v>
      </c>
      <c r="J166" s="10">
        <f t="shared" si="46"/>
        <v>14222.400000000001</v>
      </c>
      <c r="K166" s="10">
        <f t="shared" si="46"/>
        <v>7114.08</v>
      </c>
      <c r="L166" s="10">
        <f t="shared" si="46"/>
        <v>0</v>
      </c>
      <c r="M166" s="10">
        <f t="shared" si="46"/>
        <v>0</v>
      </c>
      <c r="N166" s="10">
        <f t="shared" si="46"/>
        <v>0</v>
      </c>
      <c r="O166" s="10">
        <f t="shared" si="46"/>
        <v>0</v>
      </c>
      <c r="P166" s="10">
        <f t="shared" si="46"/>
        <v>0</v>
      </c>
      <c r="Q166" s="10">
        <f t="shared" si="46"/>
        <v>0</v>
      </c>
      <c r="R166" s="148" t="s">
        <v>135</v>
      </c>
      <c r="S166" s="149"/>
      <c r="T166" s="11"/>
      <c r="AG166" s="18"/>
    </row>
    <row r="167" spans="1:33" ht="18" customHeight="1">
      <c r="A167" s="164"/>
      <c r="B167" s="206"/>
      <c r="C167" s="75"/>
      <c r="D167" s="75"/>
      <c r="E167" s="145"/>
      <c r="F167" s="8" t="s">
        <v>30</v>
      </c>
      <c r="G167" s="12" t="s">
        <v>13</v>
      </c>
      <c r="H167" s="13">
        <f aca="true" t="shared" si="47" ref="H167:I171">J167+L167+N167+P167</f>
        <v>40</v>
      </c>
      <c r="I167" s="13">
        <f t="shared" si="47"/>
        <v>30</v>
      </c>
      <c r="J167" s="13">
        <v>40</v>
      </c>
      <c r="K167" s="13">
        <v>30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50"/>
      <c r="S167" s="151"/>
      <c r="T167" s="11"/>
      <c r="AG167" s="18"/>
    </row>
    <row r="168" spans="1:33" ht="18" customHeight="1">
      <c r="A168" s="164"/>
      <c r="B168" s="206"/>
      <c r="C168" s="75"/>
      <c r="D168" s="75"/>
      <c r="E168" s="145"/>
      <c r="F168" s="8"/>
      <c r="G168" s="12" t="s">
        <v>11</v>
      </c>
      <c r="H168" s="13">
        <f t="shared" si="47"/>
        <v>43.2</v>
      </c>
      <c r="I168" s="13">
        <f t="shared" si="47"/>
        <v>43.2</v>
      </c>
      <c r="J168" s="13">
        <v>43.2</v>
      </c>
      <c r="K168" s="20">
        <v>43.2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50"/>
      <c r="S168" s="151"/>
      <c r="T168" s="11"/>
      <c r="AG168" s="18"/>
    </row>
    <row r="169" spans="1:33" ht="18" customHeight="1">
      <c r="A169" s="164"/>
      <c r="B169" s="206"/>
      <c r="C169" s="75"/>
      <c r="D169" s="75"/>
      <c r="E169" s="145"/>
      <c r="F169" s="8"/>
      <c r="G169" s="12" t="s">
        <v>12</v>
      </c>
      <c r="H169" s="13">
        <f t="shared" si="47"/>
        <v>57.6</v>
      </c>
      <c r="I169" s="13">
        <f t="shared" si="47"/>
        <v>41.8</v>
      </c>
      <c r="J169" s="21">
        <v>57.6</v>
      </c>
      <c r="K169" s="13">
        <v>41.8</v>
      </c>
      <c r="L169" s="22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50"/>
      <c r="S169" s="151"/>
      <c r="T169" s="11"/>
      <c r="AG169" s="18"/>
    </row>
    <row r="170" spans="1:33" ht="18" customHeight="1">
      <c r="A170" s="164"/>
      <c r="B170" s="206"/>
      <c r="C170" s="75"/>
      <c r="D170" s="75"/>
      <c r="E170" s="145"/>
      <c r="F170" s="8"/>
      <c r="G170" s="12" t="s">
        <v>14</v>
      </c>
      <c r="H170" s="13">
        <f t="shared" si="47"/>
        <v>57.6</v>
      </c>
      <c r="I170" s="13">
        <f>K170</f>
        <v>41.8</v>
      </c>
      <c r="J170" s="21">
        <v>57.6</v>
      </c>
      <c r="K170" s="13">
        <f>57.6-15.8</f>
        <v>41.8</v>
      </c>
      <c r="L170" s="22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50"/>
      <c r="S170" s="151"/>
      <c r="T170" s="11">
        <v>21</v>
      </c>
      <c r="U170" s="2">
        <v>22</v>
      </c>
      <c r="V170" s="2">
        <v>23</v>
      </c>
      <c r="W170" s="2">
        <v>24</v>
      </c>
      <c r="AG170" s="18"/>
    </row>
    <row r="171" spans="1:33" ht="18" customHeight="1">
      <c r="A171" s="164"/>
      <c r="B171" s="206"/>
      <c r="C171" s="75"/>
      <c r="D171" s="75"/>
      <c r="E171" s="145"/>
      <c r="F171" s="8"/>
      <c r="G171" s="12" t="s">
        <v>15</v>
      </c>
      <c r="H171" s="13">
        <f t="shared" si="47"/>
        <v>57.6</v>
      </c>
      <c r="I171" s="13">
        <f t="shared" si="47"/>
        <v>57.6</v>
      </c>
      <c r="J171" s="21">
        <v>57.6</v>
      </c>
      <c r="K171" s="13">
        <v>57.6</v>
      </c>
      <c r="L171" s="22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50"/>
      <c r="S171" s="151"/>
      <c r="T171" s="11">
        <v>14339.9</v>
      </c>
      <c r="U171" s="2">
        <v>26477.9</v>
      </c>
      <c r="V171" s="2">
        <v>15621</v>
      </c>
      <c r="W171" s="2">
        <f>V171</f>
        <v>15621</v>
      </c>
      <c r="AG171" s="18"/>
    </row>
    <row r="172" spans="1:33" ht="18" customHeight="1">
      <c r="A172" s="164"/>
      <c r="B172" s="206"/>
      <c r="C172" s="75"/>
      <c r="D172" s="75"/>
      <c r="E172" s="145"/>
      <c r="F172" s="8"/>
      <c r="G172" s="12" t="s">
        <v>61</v>
      </c>
      <c r="H172" s="13">
        <f aca="true" t="shared" si="48" ref="H172:H177">J172+L172+N172+P172</f>
        <v>2366.4</v>
      </c>
      <c r="I172" s="13">
        <v>78.9</v>
      </c>
      <c r="J172" s="13">
        <v>2366.4</v>
      </c>
      <c r="K172" s="13">
        <v>78.88</v>
      </c>
      <c r="L172" s="22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50"/>
      <c r="S172" s="151"/>
      <c r="T172" s="11">
        <v>6350.7</v>
      </c>
      <c r="U172" s="2">
        <v>9828.6</v>
      </c>
      <c r="V172" s="2">
        <v>4749.3</v>
      </c>
      <c r="W172" s="2">
        <f>V172</f>
        <v>4749.3</v>
      </c>
      <c r="AG172" s="18"/>
    </row>
    <row r="173" spans="1:33" ht="18" customHeight="1">
      <c r="A173" s="164"/>
      <c r="B173" s="206"/>
      <c r="C173" s="75"/>
      <c r="D173" s="75"/>
      <c r="E173" s="145"/>
      <c r="F173" s="8"/>
      <c r="G173" s="133" t="s">
        <v>110</v>
      </c>
      <c r="H173" s="134">
        <f>J173</f>
        <v>2041.6</v>
      </c>
      <c r="I173" s="134">
        <f>K173</f>
        <v>2041.6</v>
      </c>
      <c r="J173" s="134">
        <f>K173</f>
        <v>2041.6</v>
      </c>
      <c r="K173" s="134">
        <f>2389.6-348</f>
        <v>2041.6</v>
      </c>
      <c r="L173" s="22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50"/>
      <c r="S173" s="151"/>
      <c r="T173" s="11">
        <v>36385.3</v>
      </c>
      <c r="U173" s="2">
        <v>34576.6</v>
      </c>
      <c r="V173" s="2">
        <v>34576.6</v>
      </c>
      <c r="W173" s="2">
        <f>V173</f>
        <v>34576.6</v>
      </c>
      <c r="AG173" s="18"/>
    </row>
    <row r="174" spans="1:33" ht="18" customHeight="1">
      <c r="A174" s="164"/>
      <c r="B174" s="206"/>
      <c r="C174" s="110" t="s">
        <v>163</v>
      </c>
      <c r="D174" s="110" t="s">
        <v>164</v>
      </c>
      <c r="E174" s="145"/>
      <c r="F174" s="8"/>
      <c r="G174" s="67" t="s">
        <v>111</v>
      </c>
      <c r="H174" s="68">
        <v>2389.6</v>
      </c>
      <c r="I174" s="68">
        <v>2389.6</v>
      </c>
      <c r="J174" s="68">
        <v>2389.6</v>
      </c>
      <c r="K174" s="68">
        <v>2389.6</v>
      </c>
      <c r="L174" s="22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50"/>
      <c r="S174" s="151"/>
      <c r="T174" s="11">
        <v>0</v>
      </c>
      <c r="U174" s="2">
        <v>2208.4</v>
      </c>
      <c r="V174" s="2">
        <v>0</v>
      </c>
      <c r="W174" s="2">
        <v>0</v>
      </c>
      <c r="AG174" s="18"/>
    </row>
    <row r="175" spans="1:33" ht="18" customHeight="1">
      <c r="A175" s="164"/>
      <c r="B175" s="206"/>
      <c r="C175" s="75"/>
      <c r="D175" s="75"/>
      <c r="E175" s="145"/>
      <c r="F175" s="8"/>
      <c r="G175" s="67" t="s">
        <v>112</v>
      </c>
      <c r="H175" s="68">
        <v>2389.6</v>
      </c>
      <c r="I175" s="68">
        <v>2389.6</v>
      </c>
      <c r="J175" s="68">
        <v>2389.6</v>
      </c>
      <c r="K175" s="68">
        <v>2389.6</v>
      </c>
      <c r="L175" s="22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50"/>
      <c r="S175" s="151"/>
      <c r="T175" s="11">
        <f>T171+T173</f>
        <v>50725.200000000004</v>
      </c>
      <c r="U175" s="2">
        <f>U171+U172+U173+U174</f>
        <v>73091.5</v>
      </c>
      <c r="V175" s="2">
        <f>V171+V172+V173+V174</f>
        <v>54946.899999999994</v>
      </c>
      <c r="W175" s="2">
        <f>W171+W172+W173+W174</f>
        <v>54946.899999999994</v>
      </c>
      <c r="AG175" s="18"/>
    </row>
    <row r="176" spans="1:33" ht="18" customHeight="1">
      <c r="A176" s="164"/>
      <c r="B176" s="206"/>
      <c r="C176" s="75"/>
      <c r="D176" s="75"/>
      <c r="E176" s="145"/>
      <c r="F176" s="8"/>
      <c r="G176" s="67" t="s">
        <v>113</v>
      </c>
      <c r="H176" s="68">
        <f t="shared" si="48"/>
        <v>2389.6</v>
      </c>
      <c r="I176" s="68">
        <f>K176+M176+O176+Q176</f>
        <v>0</v>
      </c>
      <c r="J176" s="68">
        <v>2389.6</v>
      </c>
      <c r="K176" s="68">
        <v>0</v>
      </c>
      <c r="L176" s="22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50"/>
      <c r="S176" s="151"/>
      <c r="T176" s="11"/>
      <c r="AG176" s="18"/>
    </row>
    <row r="177" spans="1:33" ht="18" customHeight="1">
      <c r="A177" s="165"/>
      <c r="B177" s="207"/>
      <c r="C177" s="76"/>
      <c r="D177" s="76"/>
      <c r="E177" s="146"/>
      <c r="F177" s="8"/>
      <c r="G177" s="12" t="s">
        <v>72</v>
      </c>
      <c r="H177" s="13">
        <f t="shared" si="48"/>
        <v>2389.6</v>
      </c>
      <c r="I177" s="13">
        <f>K177+M177+O177+Q177</f>
        <v>0</v>
      </c>
      <c r="J177" s="13">
        <v>2389.6</v>
      </c>
      <c r="K177" s="13">
        <v>0</v>
      </c>
      <c r="L177" s="22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52"/>
      <c r="S177" s="153"/>
      <c r="T177" s="11"/>
      <c r="AG177" s="18"/>
    </row>
    <row r="178" spans="1:33" ht="18" customHeight="1">
      <c r="A178" s="163">
        <f>A166+1</f>
        <v>14</v>
      </c>
      <c r="B178" s="144" t="s">
        <v>37</v>
      </c>
      <c r="C178" s="69"/>
      <c r="D178" s="69"/>
      <c r="E178" s="144" t="s">
        <v>50</v>
      </c>
      <c r="F178" s="8"/>
      <c r="G178" s="9" t="s">
        <v>9</v>
      </c>
      <c r="H178" s="10">
        <f aca="true" t="shared" si="49" ref="H178:Q178">SUM(H179:H189)</f>
        <v>8930.2</v>
      </c>
      <c r="I178" s="10">
        <f t="shared" si="49"/>
        <v>3105.5</v>
      </c>
      <c r="J178" s="10">
        <f t="shared" si="49"/>
        <v>8930.2</v>
      </c>
      <c r="K178" s="10">
        <f t="shared" si="49"/>
        <v>3105.5</v>
      </c>
      <c r="L178" s="10">
        <f t="shared" si="49"/>
        <v>0</v>
      </c>
      <c r="M178" s="10">
        <f t="shared" si="49"/>
        <v>0</v>
      </c>
      <c r="N178" s="10">
        <f t="shared" si="49"/>
        <v>0</v>
      </c>
      <c r="O178" s="10">
        <f t="shared" si="49"/>
        <v>0</v>
      </c>
      <c r="P178" s="10">
        <f t="shared" si="49"/>
        <v>0</v>
      </c>
      <c r="Q178" s="10">
        <f t="shared" si="49"/>
        <v>0</v>
      </c>
      <c r="R178" s="157" t="s">
        <v>136</v>
      </c>
      <c r="S178" s="158"/>
      <c r="T178" s="11"/>
      <c r="AG178" s="18"/>
    </row>
    <row r="179" spans="1:33" ht="18" customHeight="1">
      <c r="A179" s="164"/>
      <c r="B179" s="145"/>
      <c r="C179" s="70"/>
      <c r="D179" s="70"/>
      <c r="E179" s="145"/>
      <c r="F179" s="8" t="s">
        <v>30</v>
      </c>
      <c r="G179" s="12" t="s">
        <v>13</v>
      </c>
      <c r="H179" s="13">
        <f aca="true" t="shared" si="50" ref="H179:I184">J179+L179+N179+P179</f>
        <v>2000</v>
      </c>
      <c r="I179" s="13">
        <f t="shared" si="50"/>
        <v>0</v>
      </c>
      <c r="J179" s="13">
        <v>2000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59"/>
      <c r="S179" s="160"/>
      <c r="T179" s="11"/>
      <c r="AG179" s="18"/>
    </row>
    <row r="180" spans="1:33" ht="18" customHeight="1">
      <c r="A180" s="164"/>
      <c r="B180" s="145"/>
      <c r="C180" s="70"/>
      <c r="D180" s="70"/>
      <c r="E180" s="145"/>
      <c r="F180" s="8"/>
      <c r="G180" s="12" t="s">
        <v>11</v>
      </c>
      <c r="H180" s="13">
        <f t="shared" si="50"/>
        <v>2106</v>
      </c>
      <c r="I180" s="13">
        <f t="shared" si="50"/>
        <v>0</v>
      </c>
      <c r="J180" s="13">
        <v>2106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59"/>
      <c r="S180" s="160"/>
      <c r="T180" s="14"/>
      <c r="U180" s="14" t="s">
        <v>73</v>
      </c>
      <c r="V180" s="14" t="s">
        <v>74</v>
      </c>
      <c r="W180" s="14" t="s">
        <v>75</v>
      </c>
      <c r="X180" s="14" t="s">
        <v>76</v>
      </c>
      <c r="Y180" s="14" t="s">
        <v>77</v>
      </c>
      <c r="Z180" s="14" t="s">
        <v>78</v>
      </c>
      <c r="AA180" s="14" t="s">
        <v>79</v>
      </c>
      <c r="AB180" s="14" t="s">
        <v>80</v>
      </c>
      <c r="AC180" s="14" t="s">
        <v>81</v>
      </c>
      <c r="AD180" s="14" t="s">
        <v>82</v>
      </c>
      <c r="AE180" s="14" t="s">
        <v>83</v>
      </c>
      <c r="AF180" s="14" t="s">
        <v>84</v>
      </c>
      <c r="AG180" s="18"/>
    </row>
    <row r="181" spans="1:33" ht="18" customHeight="1">
      <c r="A181" s="164"/>
      <c r="B181" s="145"/>
      <c r="C181" s="70"/>
      <c r="D181" s="70"/>
      <c r="E181" s="145"/>
      <c r="F181" s="8"/>
      <c r="G181" s="12" t="s">
        <v>12</v>
      </c>
      <c r="H181" s="13">
        <f t="shared" si="50"/>
        <v>2217.6</v>
      </c>
      <c r="I181" s="13">
        <f t="shared" si="50"/>
        <v>498.9</v>
      </c>
      <c r="J181" s="13">
        <v>2217.6</v>
      </c>
      <c r="K181" s="13">
        <f>622.8-105.9-18</f>
        <v>498.9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59"/>
      <c r="S181" s="160"/>
      <c r="T181" s="16"/>
      <c r="U181" s="16" t="s">
        <v>85</v>
      </c>
      <c r="V181" s="16" t="s">
        <v>86</v>
      </c>
      <c r="W181" s="16" t="s">
        <v>87</v>
      </c>
      <c r="X181" s="16" t="s">
        <v>88</v>
      </c>
      <c r="Y181" s="16" t="s">
        <v>89</v>
      </c>
      <c r="Z181" s="16" t="s">
        <v>90</v>
      </c>
      <c r="AA181" s="16" t="s">
        <v>91</v>
      </c>
      <c r="AB181" s="16" t="s">
        <v>92</v>
      </c>
      <c r="AC181" s="16" t="s">
        <v>93</v>
      </c>
      <c r="AD181" s="17"/>
      <c r="AE181" s="17"/>
      <c r="AF181" s="17"/>
      <c r="AG181" s="18"/>
    </row>
    <row r="182" spans="1:33" ht="18" customHeight="1">
      <c r="A182" s="164"/>
      <c r="B182" s="145"/>
      <c r="C182" s="70"/>
      <c r="D182" s="70"/>
      <c r="E182" s="145"/>
      <c r="F182" s="8"/>
      <c r="G182" s="12" t="s">
        <v>14</v>
      </c>
      <c r="H182" s="13">
        <f t="shared" si="50"/>
        <v>2606.6</v>
      </c>
      <c r="I182" s="13">
        <f t="shared" si="50"/>
        <v>2606.6</v>
      </c>
      <c r="J182" s="13">
        <f>K182</f>
        <v>2606.6</v>
      </c>
      <c r="K182" s="13">
        <v>2606.6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59"/>
      <c r="S182" s="160"/>
      <c r="T182" s="16"/>
      <c r="U182" s="16" t="s">
        <v>85</v>
      </c>
      <c r="V182" s="16" t="s">
        <v>86</v>
      </c>
      <c r="W182" s="16" t="s">
        <v>94</v>
      </c>
      <c r="X182" s="16" t="s">
        <v>88</v>
      </c>
      <c r="Y182" s="16" t="s">
        <v>89</v>
      </c>
      <c r="Z182" s="16" t="s">
        <v>95</v>
      </c>
      <c r="AA182" s="16" t="s">
        <v>91</v>
      </c>
      <c r="AB182" s="16" t="s">
        <v>92</v>
      </c>
      <c r="AC182" s="16" t="s">
        <v>93</v>
      </c>
      <c r="AD182" s="17"/>
      <c r="AE182" s="17"/>
      <c r="AF182" s="17"/>
      <c r="AG182" s="18"/>
    </row>
    <row r="183" spans="1:33" ht="18" customHeight="1">
      <c r="A183" s="164"/>
      <c r="B183" s="145"/>
      <c r="C183" s="88"/>
      <c r="D183" s="88"/>
      <c r="E183" s="145"/>
      <c r="F183" s="8"/>
      <c r="G183" s="12" t="s">
        <v>15</v>
      </c>
      <c r="H183" s="13">
        <f t="shared" si="50"/>
        <v>0</v>
      </c>
      <c r="I183" s="13">
        <f t="shared" si="50"/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59"/>
      <c r="S183" s="160"/>
      <c r="T183" s="16"/>
      <c r="U183" s="16" t="s">
        <v>85</v>
      </c>
      <c r="V183" s="16" t="s">
        <v>86</v>
      </c>
      <c r="W183" s="16" t="s">
        <v>94</v>
      </c>
      <c r="X183" s="16" t="s">
        <v>88</v>
      </c>
      <c r="Y183" s="16" t="s">
        <v>96</v>
      </c>
      <c r="Z183" s="16" t="s">
        <v>95</v>
      </c>
      <c r="AA183" s="16" t="s">
        <v>91</v>
      </c>
      <c r="AB183" s="16" t="s">
        <v>92</v>
      </c>
      <c r="AC183" s="16" t="s">
        <v>93</v>
      </c>
      <c r="AD183" s="17"/>
      <c r="AE183" s="17"/>
      <c r="AF183" s="17"/>
      <c r="AG183" s="18"/>
    </row>
    <row r="184" spans="1:33" ht="18" customHeight="1">
      <c r="A184" s="164"/>
      <c r="B184" s="145"/>
      <c r="C184" s="70"/>
      <c r="D184" s="70"/>
      <c r="E184" s="145"/>
      <c r="F184" s="8"/>
      <c r="G184" s="12" t="s">
        <v>61</v>
      </c>
      <c r="H184" s="13">
        <f t="shared" si="50"/>
        <v>0</v>
      </c>
      <c r="I184" s="13">
        <f t="shared" si="50"/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59"/>
      <c r="S184" s="160"/>
      <c r="T184" s="16"/>
      <c r="U184" s="16" t="s">
        <v>85</v>
      </c>
      <c r="V184" s="16" t="s">
        <v>86</v>
      </c>
      <c r="W184" s="16" t="s">
        <v>97</v>
      </c>
      <c r="X184" s="16" t="s">
        <v>88</v>
      </c>
      <c r="Y184" s="16" t="s">
        <v>89</v>
      </c>
      <c r="Z184" s="16" t="s">
        <v>95</v>
      </c>
      <c r="AA184" s="16" t="s">
        <v>91</v>
      </c>
      <c r="AB184" s="16" t="s">
        <v>92</v>
      </c>
      <c r="AC184" s="16" t="s">
        <v>93</v>
      </c>
      <c r="AD184" s="17">
        <f>99000+99775+99775+99000+98000+170000+94000+99000+98000+150000+1500000+470412+494</f>
        <v>3077456</v>
      </c>
      <c r="AE184" s="17"/>
      <c r="AF184" s="17"/>
      <c r="AG184" s="26">
        <f>99000+99775+99775+99000+98000+170000+94000+99000+98000+150000+1500000</f>
        <v>2606550</v>
      </c>
    </row>
    <row r="185" spans="1:33" ht="18" customHeight="1">
      <c r="A185" s="164"/>
      <c r="B185" s="145"/>
      <c r="C185" s="70"/>
      <c r="D185" s="70"/>
      <c r="E185" s="145"/>
      <c r="F185" s="8"/>
      <c r="G185" s="12" t="s">
        <v>110</v>
      </c>
      <c r="H185" s="13">
        <f aca="true" t="shared" si="51" ref="H185:I189">J185+L185+N185+P185</f>
        <v>0</v>
      </c>
      <c r="I185" s="13">
        <f t="shared" si="51"/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59"/>
      <c r="S185" s="160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9"/>
      <c r="AE185" s="29"/>
      <c r="AF185" s="29"/>
      <c r="AG185" s="30"/>
    </row>
    <row r="186" spans="1:33" ht="18" customHeight="1">
      <c r="A186" s="164"/>
      <c r="B186" s="145"/>
      <c r="C186" s="70"/>
      <c r="D186" s="70"/>
      <c r="E186" s="145"/>
      <c r="F186" s="8"/>
      <c r="G186" s="12" t="s">
        <v>111</v>
      </c>
      <c r="H186" s="13">
        <f t="shared" si="51"/>
        <v>0</v>
      </c>
      <c r="I186" s="13">
        <f t="shared" si="51"/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59"/>
      <c r="S186" s="160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9"/>
      <c r="AE186" s="29"/>
      <c r="AF186" s="29"/>
      <c r="AG186" s="30"/>
    </row>
    <row r="187" spans="1:33" ht="18" customHeight="1">
      <c r="A187" s="164"/>
      <c r="B187" s="145"/>
      <c r="C187" s="70"/>
      <c r="D187" s="70"/>
      <c r="E187" s="145"/>
      <c r="F187" s="8"/>
      <c r="G187" s="12" t="s">
        <v>112</v>
      </c>
      <c r="H187" s="13">
        <f t="shared" si="51"/>
        <v>0</v>
      </c>
      <c r="I187" s="13">
        <f t="shared" si="51"/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59"/>
      <c r="S187" s="160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9"/>
      <c r="AE187" s="29"/>
      <c r="AF187" s="29"/>
      <c r="AG187" s="30"/>
    </row>
    <row r="188" spans="1:33" ht="18" customHeight="1">
      <c r="A188" s="164"/>
      <c r="B188" s="145"/>
      <c r="C188" s="70"/>
      <c r="D188" s="70"/>
      <c r="E188" s="145"/>
      <c r="F188" s="8"/>
      <c r="G188" s="12" t="s">
        <v>113</v>
      </c>
      <c r="H188" s="13">
        <f t="shared" si="51"/>
        <v>0</v>
      </c>
      <c r="I188" s="13">
        <f t="shared" si="51"/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59"/>
      <c r="S188" s="160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9"/>
      <c r="AE188" s="29"/>
      <c r="AF188" s="29"/>
      <c r="AG188" s="30"/>
    </row>
    <row r="189" spans="1:33" ht="18" customHeight="1">
      <c r="A189" s="165"/>
      <c r="B189" s="146"/>
      <c r="C189" s="71"/>
      <c r="D189" s="71"/>
      <c r="E189" s="146"/>
      <c r="F189" s="8"/>
      <c r="G189" s="12" t="s">
        <v>72</v>
      </c>
      <c r="H189" s="13">
        <f t="shared" si="51"/>
        <v>0</v>
      </c>
      <c r="I189" s="13">
        <f t="shared" si="51"/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61"/>
      <c r="S189" s="162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9"/>
      <c r="AE189" s="29"/>
      <c r="AF189" s="29"/>
      <c r="AG189" s="30"/>
    </row>
    <row r="190" spans="1:33" ht="18" customHeight="1">
      <c r="A190" s="163">
        <f>A178+1</f>
        <v>15</v>
      </c>
      <c r="B190" s="144" t="s">
        <v>32</v>
      </c>
      <c r="C190" s="69"/>
      <c r="D190" s="69"/>
      <c r="E190" s="144" t="s">
        <v>50</v>
      </c>
      <c r="F190" s="8"/>
      <c r="G190" s="9" t="s">
        <v>9</v>
      </c>
      <c r="H190" s="10">
        <f aca="true" t="shared" si="52" ref="H190:Q190">SUM(H191:H201)</f>
        <v>14268.7</v>
      </c>
      <c r="I190" s="10">
        <f t="shared" si="52"/>
        <v>11877.5</v>
      </c>
      <c r="J190" s="10">
        <f t="shared" si="52"/>
        <v>11268.7</v>
      </c>
      <c r="K190" s="10">
        <f t="shared" si="52"/>
        <v>8877.5</v>
      </c>
      <c r="L190" s="10">
        <f t="shared" si="52"/>
        <v>0</v>
      </c>
      <c r="M190" s="10">
        <f t="shared" si="52"/>
        <v>0</v>
      </c>
      <c r="N190" s="10">
        <f t="shared" si="52"/>
        <v>3000</v>
      </c>
      <c r="O190" s="10">
        <f t="shared" si="52"/>
        <v>3000</v>
      </c>
      <c r="P190" s="10">
        <f t="shared" si="52"/>
        <v>0</v>
      </c>
      <c r="Q190" s="10">
        <f t="shared" si="52"/>
        <v>0</v>
      </c>
      <c r="R190" s="157" t="s">
        <v>134</v>
      </c>
      <c r="S190" s="158"/>
      <c r="T190" s="11"/>
      <c r="AG190" s="18"/>
    </row>
    <row r="191" spans="1:33" ht="18" customHeight="1">
      <c r="A191" s="164"/>
      <c r="B191" s="145"/>
      <c r="C191" s="70"/>
      <c r="D191" s="70"/>
      <c r="E191" s="145"/>
      <c r="F191" s="8" t="s">
        <v>18</v>
      </c>
      <c r="G191" s="12" t="s">
        <v>13</v>
      </c>
      <c r="H191" s="13">
        <f aca="true" t="shared" si="53" ref="H191:I196">J191+L191+N191+P191</f>
        <v>3000</v>
      </c>
      <c r="I191" s="13">
        <f t="shared" si="53"/>
        <v>3000</v>
      </c>
      <c r="J191" s="13">
        <v>0</v>
      </c>
      <c r="K191" s="13">
        <v>0</v>
      </c>
      <c r="L191" s="13">
        <v>0</v>
      </c>
      <c r="M191" s="13">
        <v>0</v>
      </c>
      <c r="N191" s="13">
        <v>3000</v>
      </c>
      <c r="O191" s="13">
        <v>3000</v>
      </c>
      <c r="P191" s="13">
        <v>0</v>
      </c>
      <c r="Q191" s="13">
        <v>0</v>
      </c>
      <c r="R191" s="159"/>
      <c r="S191" s="160"/>
      <c r="T191" s="14"/>
      <c r="U191" s="14" t="s">
        <v>73</v>
      </c>
      <c r="V191" s="14" t="s">
        <v>74</v>
      </c>
      <c r="W191" s="14" t="s">
        <v>75</v>
      </c>
      <c r="X191" s="14" t="s">
        <v>76</v>
      </c>
      <c r="Y191" s="14" t="s">
        <v>77</v>
      </c>
      <c r="Z191" s="14" t="s">
        <v>78</v>
      </c>
      <c r="AA191" s="14" t="s">
        <v>79</v>
      </c>
      <c r="AB191" s="14" t="s">
        <v>80</v>
      </c>
      <c r="AC191" s="14" t="s">
        <v>81</v>
      </c>
      <c r="AD191" s="14" t="s">
        <v>82</v>
      </c>
      <c r="AE191" s="14" t="s">
        <v>83</v>
      </c>
      <c r="AF191" s="14" t="s">
        <v>84</v>
      </c>
      <c r="AG191" s="18"/>
    </row>
    <row r="192" spans="1:33" ht="18" customHeight="1">
      <c r="A192" s="164"/>
      <c r="B192" s="145"/>
      <c r="C192" s="70"/>
      <c r="D192" s="70"/>
      <c r="E192" s="145"/>
      <c r="F192" s="8"/>
      <c r="G192" s="12" t="s">
        <v>11</v>
      </c>
      <c r="H192" s="13">
        <f t="shared" si="53"/>
        <v>3344.6</v>
      </c>
      <c r="I192" s="13">
        <f t="shared" si="53"/>
        <v>3344.6</v>
      </c>
      <c r="J192" s="13">
        <v>3344.6</v>
      </c>
      <c r="K192" s="13">
        <v>3344.6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59"/>
      <c r="S192" s="160"/>
      <c r="T192" s="16"/>
      <c r="U192" s="16" t="s">
        <v>85</v>
      </c>
      <c r="V192" s="16" t="s">
        <v>86</v>
      </c>
      <c r="W192" s="16" t="s">
        <v>87</v>
      </c>
      <c r="X192" s="16" t="s">
        <v>88</v>
      </c>
      <c r="Y192" s="16" t="s">
        <v>89</v>
      </c>
      <c r="Z192" s="16" t="s">
        <v>90</v>
      </c>
      <c r="AA192" s="16" t="s">
        <v>91</v>
      </c>
      <c r="AB192" s="16" t="s">
        <v>92</v>
      </c>
      <c r="AC192" s="16" t="s">
        <v>93</v>
      </c>
      <c r="AD192" s="17"/>
      <c r="AE192" s="17"/>
      <c r="AF192" s="17"/>
      <c r="AG192" s="18"/>
    </row>
    <row r="193" spans="1:33" ht="18" customHeight="1">
      <c r="A193" s="164"/>
      <c r="B193" s="145"/>
      <c r="C193" s="70"/>
      <c r="D193" s="70"/>
      <c r="E193" s="145"/>
      <c r="F193" s="8"/>
      <c r="G193" s="12" t="s">
        <v>12</v>
      </c>
      <c r="H193" s="13">
        <f t="shared" si="53"/>
        <v>3754.4</v>
      </c>
      <c r="I193" s="13">
        <f t="shared" si="53"/>
        <v>2736</v>
      </c>
      <c r="J193" s="13">
        <v>3754.4</v>
      </c>
      <c r="K193" s="13">
        <f>3754.4-907.7-110.7</f>
        <v>2736</v>
      </c>
      <c r="L193" s="13">
        <v>0</v>
      </c>
      <c r="M193" s="13">
        <v>0</v>
      </c>
      <c r="N193" s="13">
        <f>N192*1.053</f>
        <v>0</v>
      </c>
      <c r="O193" s="13">
        <v>0</v>
      </c>
      <c r="P193" s="13">
        <v>0</v>
      </c>
      <c r="Q193" s="13">
        <v>0</v>
      </c>
      <c r="R193" s="159"/>
      <c r="S193" s="160"/>
      <c r="T193" s="16"/>
      <c r="U193" s="16" t="s">
        <v>85</v>
      </c>
      <c r="V193" s="16" t="s">
        <v>86</v>
      </c>
      <c r="W193" s="16" t="s">
        <v>94</v>
      </c>
      <c r="X193" s="16" t="s">
        <v>88</v>
      </c>
      <c r="Y193" s="16" t="s">
        <v>89</v>
      </c>
      <c r="Z193" s="16" t="s">
        <v>95</v>
      </c>
      <c r="AA193" s="16" t="s">
        <v>91</v>
      </c>
      <c r="AB193" s="16" t="s">
        <v>92</v>
      </c>
      <c r="AC193" s="16" t="s">
        <v>93</v>
      </c>
      <c r="AD193" s="18">
        <v>2796944</v>
      </c>
      <c r="AE193" s="17">
        <v>3754350</v>
      </c>
      <c r="AF193" s="17">
        <v>3754350</v>
      </c>
      <c r="AG193" s="18">
        <v>2796944</v>
      </c>
    </row>
    <row r="194" spans="1:33" ht="18" customHeight="1">
      <c r="A194" s="164"/>
      <c r="B194" s="145"/>
      <c r="C194" s="70"/>
      <c r="D194" s="70"/>
      <c r="E194" s="145"/>
      <c r="F194" s="8"/>
      <c r="G194" s="12" t="s">
        <v>14</v>
      </c>
      <c r="H194" s="13">
        <f t="shared" si="53"/>
        <v>4169.7</v>
      </c>
      <c r="I194" s="13">
        <f t="shared" si="53"/>
        <v>2796.9</v>
      </c>
      <c r="J194" s="13">
        <v>4169.7</v>
      </c>
      <c r="K194" s="13">
        <v>2796.9</v>
      </c>
      <c r="L194" s="13">
        <v>0</v>
      </c>
      <c r="M194" s="13">
        <v>0</v>
      </c>
      <c r="N194" s="13">
        <f>N193*1.051</f>
        <v>0</v>
      </c>
      <c r="O194" s="13">
        <v>0</v>
      </c>
      <c r="P194" s="13">
        <v>0</v>
      </c>
      <c r="Q194" s="13">
        <v>0</v>
      </c>
      <c r="R194" s="159"/>
      <c r="S194" s="160"/>
      <c r="T194" s="16"/>
      <c r="U194" s="16" t="s">
        <v>85</v>
      </c>
      <c r="V194" s="16" t="s">
        <v>86</v>
      </c>
      <c r="W194" s="16" t="s">
        <v>94</v>
      </c>
      <c r="X194" s="16" t="s">
        <v>88</v>
      </c>
      <c r="Y194" s="16" t="s">
        <v>96</v>
      </c>
      <c r="Z194" s="16" t="s">
        <v>95</v>
      </c>
      <c r="AA194" s="16" t="s">
        <v>91</v>
      </c>
      <c r="AB194" s="16" t="s">
        <v>92</v>
      </c>
      <c r="AC194" s="16" t="s">
        <v>93</v>
      </c>
      <c r="AD194" s="17"/>
      <c r="AE194" s="17"/>
      <c r="AF194" s="17"/>
      <c r="AG194" s="18"/>
    </row>
    <row r="195" spans="1:33" ht="18" customHeight="1">
      <c r="A195" s="164"/>
      <c r="B195" s="145"/>
      <c r="C195" s="88"/>
      <c r="D195" s="88"/>
      <c r="E195" s="145"/>
      <c r="F195" s="8"/>
      <c r="G195" s="12" t="s">
        <v>15</v>
      </c>
      <c r="H195" s="13">
        <f t="shared" si="53"/>
        <v>0</v>
      </c>
      <c r="I195" s="13">
        <f t="shared" si="53"/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f>N194*1.049</f>
        <v>0</v>
      </c>
      <c r="O195" s="13">
        <v>0</v>
      </c>
      <c r="P195" s="13">
        <v>0</v>
      </c>
      <c r="Q195" s="13">
        <v>0</v>
      </c>
      <c r="R195" s="159"/>
      <c r="S195" s="160"/>
      <c r="T195" s="16"/>
      <c r="U195" s="16" t="s">
        <v>85</v>
      </c>
      <c r="V195" s="16" t="s">
        <v>86</v>
      </c>
      <c r="W195" s="16" t="s">
        <v>97</v>
      </c>
      <c r="X195" s="16" t="s">
        <v>88</v>
      </c>
      <c r="Y195" s="16" t="s">
        <v>89</v>
      </c>
      <c r="Z195" s="16" t="s">
        <v>95</v>
      </c>
      <c r="AA195" s="16" t="s">
        <v>91</v>
      </c>
      <c r="AB195" s="16" t="s">
        <v>92</v>
      </c>
      <c r="AC195" s="16" t="s">
        <v>93</v>
      </c>
      <c r="AD195" s="17"/>
      <c r="AE195" s="17"/>
      <c r="AF195" s="17"/>
      <c r="AG195" s="18"/>
    </row>
    <row r="196" spans="1:33" ht="18" customHeight="1">
      <c r="A196" s="164"/>
      <c r="B196" s="145"/>
      <c r="C196" s="70"/>
      <c r="D196" s="70"/>
      <c r="E196" s="145"/>
      <c r="F196" s="8"/>
      <c r="G196" s="12" t="s">
        <v>61</v>
      </c>
      <c r="H196" s="13">
        <f t="shared" si="53"/>
        <v>0</v>
      </c>
      <c r="I196" s="13">
        <f t="shared" si="53"/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59"/>
      <c r="S196" s="160"/>
      <c r="T196" s="11"/>
      <c r="AG196" s="18"/>
    </row>
    <row r="197" spans="1:33" ht="18" customHeight="1">
      <c r="A197" s="164"/>
      <c r="B197" s="145"/>
      <c r="C197" s="70"/>
      <c r="D197" s="70"/>
      <c r="E197" s="145"/>
      <c r="F197" s="8"/>
      <c r="G197" s="12" t="s">
        <v>110</v>
      </c>
      <c r="H197" s="13">
        <f aca="true" t="shared" si="54" ref="H197:I201">J197+L197+N197+P197</f>
        <v>0</v>
      </c>
      <c r="I197" s="13">
        <f t="shared" si="54"/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59"/>
      <c r="S197" s="160"/>
      <c r="T197" s="11"/>
      <c r="AG197" s="18"/>
    </row>
    <row r="198" spans="1:33" ht="18" customHeight="1">
      <c r="A198" s="164"/>
      <c r="B198" s="145"/>
      <c r="C198" s="70"/>
      <c r="D198" s="70"/>
      <c r="E198" s="145"/>
      <c r="F198" s="8"/>
      <c r="G198" s="12" t="s">
        <v>111</v>
      </c>
      <c r="H198" s="13">
        <f t="shared" si="54"/>
        <v>0</v>
      </c>
      <c r="I198" s="13">
        <f t="shared" si="54"/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59"/>
      <c r="S198" s="160"/>
      <c r="T198" s="11"/>
      <c r="AG198" s="18"/>
    </row>
    <row r="199" spans="1:33" ht="18" customHeight="1">
      <c r="A199" s="164"/>
      <c r="B199" s="145"/>
      <c r="C199" s="70"/>
      <c r="D199" s="70"/>
      <c r="E199" s="145"/>
      <c r="F199" s="8"/>
      <c r="G199" s="12" t="s">
        <v>112</v>
      </c>
      <c r="H199" s="13">
        <f t="shared" si="54"/>
        <v>0</v>
      </c>
      <c r="I199" s="13">
        <f t="shared" si="54"/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59"/>
      <c r="S199" s="160"/>
      <c r="T199" s="11"/>
      <c r="AG199" s="18"/>
    </row>
    <row r="200" spans="1:33" ht="18" customHeight="1">
      <c r="A200" s="164"/>
      <c r="B200" s="145"/>
      <c r="C200" s="70"/>
      <c r="D200" s="70"/>
      <c r="E200" s="145"/>
      <c r="F200" s="8"/>
      <c r="G200" s="12" t="s">
        <v>113</v>
      </c>
      <c r="H200" s="13">
        <f t="shared" si="54"/>
        <v>0</v>
      </c>
      <c r="I200" s="13">
        <f t="shared" si="54"/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59"/>
      <c r="S200" s="160"/>
      <c r="T200" s="11"/>
      <c r="AG200" s="18"/>
    </row>
    <row r="201" spans="1:33" ht="18" customHeight="1">
      <c r="A201" s="165"/>
      <c r="B201" s="146"/>
      <c r="C201" s="71"/>
      <c r="D201" s="71"/>
      <c r="E201" s="146"/>
      <c r="F201" s="8"/>
      <c r="G201" s="12" t="s">
        <v>72</v>
      </c>
      <c r="H201" s="13">
        <f t="shared" si="54"/>
        <v>0</v>
      </c>
      <c r="I201" s="13">
        <f t="shared" si="54"/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61"/>
      <c r="S201" s="162"/>
      <c r="T201" s="11"/>
      <c r="AG201" s="18"/>
    </row>
    <row r="202" spans="1:33" s="31" customFormat="1" ht="18" customHeight="1">
      <c r="A202" s="163">
        <f>A190+1</f>
        <v>16</v>
      </c>
      <c r="B202" s="144" t="s">
        <v>33</v>
      </c>
      <c r="C202" s="69"/>
      <c r="D202" s="69"/>
      <c r="E202" s="144" t="s">
        <v>50</v>
      </c>
      <c r="F202" s="8"/>
      <c r="G202" s="9" t="s">
        <v>9</v>
      </c>
      <c r="H202" s="10">
        <f aca="true" t="shared" si="55" ref="H202:Q202">SUM(H203:H213)</f>
        <v>7590</v>
      </c>
      <c r="I202" s="10">
        <f t="shared" si="55"/>
        <v>7128.2</v>
      </c>
      <c r="J202" s="10">
        <f t="shared" si="55"/>
        <v>7590</v>
      </c>
      <c r="K202" s="10">
        <f t="shared" si="55"/>
        <v>7128.2</v>
      </c>
      <c r="L202" s="10">
        <f t="shared" si="55"/>
        <v>0</v>
      </c>
      <c r="M202" s="10">
        <f t="shared" si="55"/>
        <v>0</v>
      </c>
      <c r="N202" s="10">
        <f t="shared" si="55"/>
        <v>0</v>
      </c>
      <c r="O202" s="10">
        <f t="shared" si="55"/>
        <v>0</v>
      </c>
      <c r="P202" s="10">
        <f t="shared" si="55"/>
        <v>0</v>
      </c>
      <c r="Q202" s="10">
        <f t="shared" si="55"/>
        <v>0</v>
      </c>
      <c r="R202" s="214" t="s">
        <v>134</v>
      </c>
      <c r="S202" s="214"/>
      <c r="T202" s="11"/>
      <c r="AG202" s="32"/>
    </row>
    <row r="203" spans="1:33" ht="18" customHeight="1">
      <c r="A203" s="164"/>
      <c r="B203" s="145"/>
      <c r="C203" s="70"/>
      <c r="D203" s="70"/>
      <c r="E203" s="145"/>
      <c r="F203" s="8" t="s">
        <v>27</v>
      </c>
      <c r="G203" s="12" t="s">
        <v>13</v>
      </c>
      <c r="H203" s="13">
        <f aca="true" t="shared" si="56" ref="H203:I206">J203+L203+N203+P203</f>
        <v>2000</v>
      </c>
      <c r="I203" s="13">
        <f t="shared" si="56"/>
        <v>1968.7</v>
      </c>
      <c r="J203" s="13">
        <v>2000</v>
      </c>
      <c r="K203" s="13">
        <v>1968.7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214"/>
      <c r="S203" s="214"/>
      <c r="T203" s="14"/>
      <c r="U203" s="14" t="s">
        <v>73</v>
      </c>
      <c r="V203" s="14" t="s">
        <v>74</v>
      </c>
      <c r="W203" s="14" t="s">
        <v>75</v>
      </c>
      <c r="X203" s="14" t="s">
        <v>76</v>
      </c>
      <c r="Y203" s="14" t="s">
        <v>77</v>
      </c>
      <c r="Z203" s="14" t="s">
        <v>78</v>
      </c>
      <c r="AA203" s="14" t="s">
        <v>79</v>
      </c>
      <c r="AB203" s="14" t="s">
        <v>80</v>
      </c>
      <c r="AC203" s="14" t="s">
        <v>81</v>
      </c>
      <c r="AD203" s="14" t="s">
        <v>82</v>
      </c>
      <c r="AE203" s="14" t="s">
        <v>83</v>
      </c>
      <c r="AF203" s="14" t="s">
        <v>84</v>
      </c>
      <c r="AG203" s="18"/>
    </row>
    <row r="204" spans="1:33" ht="18" customHeight="1">
      <c r="A204" s="164"/>
      <c r="B204" s="145"/>
      <c r="C204" s="70"/>
      <c r="D204" s="70"/>
      <c r="E204" s="145"/>
      <c r="F204" s="8"/>
      <c r="G204" s="12" t="s">
        <v>11</v>
      </c>
      <c r="H204" s="13">
        <f t="shared" si="56"/>
        <v>2106</v>
      </c>
      <c r="I204" s="13">
        <f t="shared" si="56"/>
        <v>1989.5</v>
      </c>
      <c r="J204" s="13">
        <v>2106</v>
      </c>
      <c r="K204" s="13">
        <v>1989.5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214"/>
      <c r="S204" s="214"/>
      <c r="T204" s="16"/>
      <c r="U204" s="16" t="s">
        <v>85</v>
      </c>
      <c r="V204" s="16" t="s">
        <v>86</v>
      </c>
      <c r="W204" s="16" t="s">
        <v>87</v>
      </c>
      <c r="X204" s="16" t="s">
        <v>88</v>
      </c>
      <c r="Y204" s="16" t="s">
        <v>89</v>
      </c>
      <c r="Z204" s="16" t="s">
        <v>90</v>
      </c>
      <c r="AA204" s="16" t="s">
        <v>91</v>
      </c>
      <c r="AB204" s="16" t="s">
        <v>92</v>
      </c>
      <c r="AC204" s="16" t="s">
        <v>93</v>
      </c>
      <c r="AD204" s="17"/>
      <c r="AE204" s="17"/>
      <c r="AF204" s="17"/>
      <c r="AG204" s="18"/>
    </row>
    <row r="205" spans="1:33" ht="18" customHeight="1">
      <c r="A205" s="164"/>
      <c r="B205" s="145"/>
      <c r="C205" s="70"/>
      <c r="D205" s="70"/>
      <c r="E205" s="145"/>
      <c r="F205" s="8"/>
      <c r="G205" s="12" t="s">
        <v>12</v>
      </c>
      <c r="H205" s="13">
        <f t="shared" si="56"/>
        <v>2236.5</v>
      </c>
      <c r="I205" s="13">
        <f t="shared" si="56"/>
        <v>1922.5</v>
      </c>
      <c r="J205" s="13">
        <v>2236.5</v>
      </c>
      <c r="K205" s="13">
        <f>2236.5-277.5-5-36.5+5</f>
        <v>1922.5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214"/>
      <c r="S205" s="214"/>
      <c r="T205" s="16"/>
      <c r="U205" s="16" t="s">
        <v>85</v>
      </c>
      <c r="V205" s="16" t="s">
        <v>86</v>
      </c>
      <c r="W205" s="16" t="s">
        <v>94</v>
      </c>
      <c r="X205" s="16" t="s">
        <v>88</v>
      </c>
      <c r="Y205" s="16" t="s">
        <v>89</v>
      </c>
      <c r="Z205" s="16" t="s">
        <v>95</v>
      </c>
      <c r="AA205" s="16" t="s">
        <v>91</v>
      </c>
      <c r="AB205" s="16" t="s">
        <v>92</v>
      </c>
      <c r="AC205" s="16" t="s">
        <v>93</v>
      </c>
      <c r="AD205" s="17"/>
      <c r="AE205" s="17"/>
      <c r="AF205" s="17"/>
      <c r="AG205" s="18"/>
    </row>
    <row r="206" spans="1:33" ht="18" customHeight="1">
      <c r="A206" s="164"/>
      <c r="B206" s="145"/>
      <c r="C206" s="70"/>
      <c r="D206" s="70"/>
      <c r="E206" s="145"/>
      <c r="F206" s="8"/>
      <c r="G206" s="12" t="s">
        <v>14</v>
      </c>
      <c r="H206" s="13">
        <f t="shared" si="56"/>
        <v>1247.5</v>
      </c>
      <c r="I206" s="13">
        <f t="shared" si="56"/>
        <v>1247.5</v>
      </c>
      <c r="J206" s="13">
        <f>K206</f>
        <v>1247.5</v>
      </c>
      <c r="K206" s="13">
        <v>1247.5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214"/>
      <c r="S206" s="214"/>
      <c r="T206" s="16"/>
      <c r="U206" s="16" t="s">
        <v>85</v>
      </c>
      <c r="V206" s="16" t="s">
        <v>86</v>
      </c>
      <c r="W206" s="16" t="s">
        <v>94</v>
      </c>
      <c r="X206" s="16" t="s">
        <v>88</v>
      </c>
      <c r="Y206" s="16" t="s">
        <v>96</v>
      </c>
      <c r="Z206" s="16" t="s">
        <v>95</v>
      </c>
      <c r="AA206" s="16" t="s">
        <v>91</v>
      </c>
      <c r="AB206" s="16" t="s">
        <v>92</v>
      </c>
      <c r="AC206" s="16" t="s">
        <v>93</v>
      </c>
      <c r="AD206" s="18">
        <f>1148000+99496.42+252000</f>
        <v>1499496.42</v>
      </c>
      <c r="AE206" s="17">
        <v>1500000</v>
      </c>
      <c r="AF206" s="17">
        <v>1500000</v>
      </c>
      <c r="AG206" s="18">
        <f>1148000+99496.42</f>
        <v>1247496.42</v>
      </c>
    </row>
    <row r="207" spans="1:33" ht="18" customHeight="1">
      <c r="A207" s="164"/>
      <c r="B207" s="145"/>
      <c r="C207" s="88"/>
      <c r="D207" s="88"/>
      <c r="E207" s="145"/>
      <c r="F207" s="8"/>
      <c r="G207" s="12" t="s">
        <v>15</v>
      </c>
      <c r="H207" s="13">
        <f>J207+L207+N207+P207</f>
        <v>0</v>
      </c>
      <c r="I207" s="13">
        <f>K207+M207+O207+Q207</f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214"/>
      <c r="S207" s="214"/>
      <c r="T207" s="16"/>
      <c r="U207" s="16" t="s">
        <v>85</v>
      </c>
      <c r="V207" s="16" t="s">
        <v>86</v>
      </c>
      <c r="W207" s="16" t="s">
        <v>97</v>
      </c>
      <c r="X207" s="16" t="s">
        <v>88</v>
      </c>
      <c r="Y207" s="16" t="s">
        <v>89</v>
      </c>
      <c r="Z207" s="16" t="s">
        <v>95</v>
      </c>
      <c r="AA207" s="16" t="s">
        <v>91</v>
      </c>
      <c r="AB207" s="16" t="s">
        <v>92</v>
      </c>
      <c r="AC207" s="16" t="s">
        <v>93</v>
      </c>
      <c r="AD207" s="17"/>
      <c r="AE207" s="17"/>
      <c r="AF207" s="17"/>
      <c r="AG207" s="18"/>
    </row>
    <row r="208" spans="1:20" ht="18" customHeight="1">
      <c r="A208" s="164"/>
      <c r="B208" s="145"/>
      <c r="C208" s="70"/>
      <c r="D208" s="70"/>
      <c r="E208" s="145"/>
      <c r="F208" s="8"/>
      <c r="G208" s="12" t="s">
        <v>61</v>
      </c>
      <c r="H208" s="13">
        <f aca="true" t="shared" si="57" ref="H208:H213">J208+L208+N208+P208</f>
        <v>0</v>
      </c>
      <c r="I208" s="13">
        <f aca="true" t="shared" si="58" ref="I208:I213">K208+M208+O208+Q208</f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214"/>
      <c r="S208" s="214"/>
      <c r="T208" s="11"/>
    </row>
    <row r="209" spans="1:20" ht="18" customHeight="1">
      <c r="A209" s="164"/>
      <c r="B209" s="145"/>
      <c r="C209" s="70"/>
      <c r="D209" s="70"/>
      <c r="E209" s="145"/>
      <c r="F209" s="8"/>
      <c r="G209" s="12" t="s">
        <v>110</v>
      </c>
      <c r="H209" s="13">
        <f t="shared" si="57"/>
        <v>0</v>
      </c>
      <c r="I209" s="13">
        <f t="shared" si="58"/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214"/>
      <c r="S209" s="214"/>
      <c r="T209" s="11"/>
    </row>
    <row r="210" spans="1:20" ht="18" customHeight="1">
      <c r="A210" s="164"/>
      <c r="B210" s="145"/>
      <c r="C210" s="70"/>
      <c r="D210" s="70"/>
      <c r="E210" s="145"/>
      <c r="F210" s="8"/>
      <c r="G210" s="12" t="s">
        <v>111</v>
      </c>
      <c r="H210" s="13">
        <f t="shared" si="57"/>
        <v>0</v>
      </c>
      <c r="I210" s="13">
        <f t="shared" si="58"/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214"/>
      <c r="S210" s="214"/>
      <c r="T210" s="11"/>
    </row>
    <row r="211" spans="1:20" ht="18" customHeight="1">
      <c r="A211" s="164"/>
      <c r="B211" s="145"/>
      <c r="C211" s="70"/>
      <c r="D211" s="70"/>
      <c r="E211" s="145"/>
      <c r="F211" s="8"/>
      <c r="G211" s="12" t="s">
        <v>112</v>
      </c>
      <c r="H211" s="13">
        <f t="shared" si="57"/>
        <v>0</v>
      </c>
      <c r="I211" s="13">
        <f t="shared" si="58"/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214"/>
      <c r="S211" s="214"/>
      <c r="T211" s="11"/>
    </row>
    <row r="212" spans="1:20" ht="18" customHeight="1">
      <c r="A212" s="164"/>
      <c r="B212" s="145"/>
      <c r="C212" s="70"/>
      <c r="D212" s="70"/>
      <c r="E212" s="145"/>
      <c r="F212" s="8"/>
      <c r="G212" s="12" t="s">
        <v>113</v>
      </c>
      <c r="H212" s="13">
        <f t="shared" si="57"/>
        <v>0</v>
      </c>
      <c r="I212" s="13">
        <f t="shared" si="58"/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214"/>
      <c r="S212" s="214"/>
      <c r="T212" s="11"/>
    </row>
    <row r="213" spans="1:20" ht="18" customHeight="1">
      <c r="A213" s="165"/>
      <c r="B213" s="146"/>
      <c r="C213" s="71"/>
      <c r="D213" s="71"/>
      <c r="E213" s="146"/>
      <c r="F213" s="8"/>
      <c r="G213" s="12" t="s">
        <v>72</v>
      </c>
      <c r="H213" s="13">
        <f t="shared" si="57"/>
        <v>0</v>
      </c>
      <c r="I213" s="13">
        <f t="shared" si="58"/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214"/>
      <c r="S213" s="214"/>
      <c r="T213" s="11"/>
    </row>
    <row r="214" spans="1:20" ht="18" customHeight="1">
      <c r="A214" s="163">
        <v>17</v>
      </c>
      <c r="B214" s="205" t="s">
        <v>115</v>
      </c>
      <c r="C214" s="92"/>
      <c r="D214" s="92"/>
      <c r="E214" s="33"/>
      <c r="F214" s="8"/>
      <c r="G214" s="9" t="s">
        <v>9</v>
      </c>
      <c r="H214" s="10">
        <f aca="true" t="shared" si="59" ref="H214:Q214">SUM(H215:H225)</f>
        <v>323214.01999999996</v>
      </c>
      <c r="I214" s="10">
        <f t="shared" si="59"/>
        <v>199701.42</v>
      </c>
      <c r="J214" s="10">
        <f t="shared" si="59"/>
        <v>323214.01999999996</v>
      </c>
      <c r="K214" s="10">
        <f t="shared" si="59"/>
        <v>199701.42</v>
      </c>
      <c r="L214" s="10">
        <f t="shared" si="59"/>
        <v>0</v>
      </c>
      <c r="M214" s="10">
        <f t="shared" si="59"/>
        <v>0</v>
      </c>
      <c r="N214" s="10">
        <f t="shared" si="59"/>
        <v>0</v>
      </c>
      <c r="O214" s="10">
        <f t="shared" si="59"/>
        <v>0</v>
      </c>
      <c r="P214" s="10">
        <f t="shared" si="59"/>
        <v>0</v>
      </c>
      <c r="Q214" s="10">
        <f t="shared" si="59"/>
        <v>0</v>
      </c>
      <c r="R214" s="147" t="s">
        <v>134</v>
      </c>
      <c r="S214" s="147"/>
      <c r="T214" s="11"/>
    </row>
    <row r="215" spans="1:20" ht="18" customHeight="1">
      <c r="A215" s="164"/>
      <c r="B215" s="206"/>
      <c r="C215" s="93"/>
      <c r="D215" s="93"/>
      <c r="E215" s="34"/>
      <c r="F215" s="8"/>
      <c r="G215" s="12" t="s">
        <v>13</v>
      </c>
      <c r="H215" s="13">
        <f>J215+L215+N215+P215</f>
        <v>0</v>
      </c>
      <c r="I215" s="13">
        <f>K215+M215+O215+Q215</f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47"/>
      <c r="S215" s="147"/>
      <c r="T215" s="11"/>
    </row>
    <row r="216" spans="1:20" ht="18" customHeight="1">
      <c r="A216" s="164"/>
      <c r="B216" s="206"/>
      <c r="C216" s="93"/>
      <c r="D216" s="93"/>
      <c r="E216" s="34"/>
      <c r="F216" s="8"/>
      <c r="G216" s="12" t="s">
        <v>11</v>
      </c>
      <c r="H216" s="13">
        <f aca="true" t="shared" si="60" ref="H216:H222">J216+L216+N216+P216</f>
        <v>0</v>
      </c>
      <c r="I216" s="13">
        <f>K216+M216+O216+Q216</f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47"/>
      <c r="S216" s="147"/>
      <c r="T216" s="11"/>
    </row>
    <row r="217" spans="1:20" ht="18" customHeight="1">
      <c r="A217" s="164"/>
      <c r="B217" s="206"/>
      <c r="C217" s="93"/>
      <c r="D217" s="93"/>
      <c r="E217" s="34"/>
      <c r="F217" s="8"/>
      <c r="G217" s="12" t="s">
        <v>12</v>
      </c>
      <c r="H217" s="13">
        <f t="shared" si="60"/>
        <v>0</v>
      </c>
      <c r="I217" s="13">
        <f>K217+M217+O217+Q217</f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47"/>
      <c r="S217" s="147"/>
      <c r="T217" s="11"/>
    </row>
    <row r="218" spans="1:20" ht="18" customHeight="1">
      <c r="A218" s="164"/>
      <c r="B218" s="206"/>
      <c r="C218" s="93"/>
      <c r="D218" s="93"/>
      <c r="E218" s="34"/>
      <c r="F218" s="8"/>
      <c r="G218" s="12" t="s">
        <v>14</v>
      </c>
      <c r="H218" s="13">
        <f t="shared" si="60"/>
        <v>0</v>
      </c>
      <c r="I218" s="13">
        <f>K218+M218+O218+Q218</f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47"/>
      <c r="S218" s="147"/>
      <c r="T218" s="138">
        <f>(6+20+330+1356.15+4994.57+200+365.5+772.8+33585.4)</f>
        <v>41630.42</v>
      </c>
    </row>
    <row r="219" spans="1:20" ht="18" customHeight="1">
      <c r="A219" s="164"/>
      <c r="B219" s="206"/>
      <c r="C219" s="93"/>
      <c r="D219" s="93"/>
      <c r="E219" s="34" t="s">
        <v>50</v>
      </c>
      <c r="F219" s="8"/>
      <c r="G219" s="12" t="s">
        <v>15</v>
      </c>
      <c r="H219" s="13">
        <f t="shared" si="60"/>
        <v>37409.7</v>
      </c>
      <c r="I219" s="13">
        <f>K219+M219+O219+Q219</f>
        <v>27596.7</v>
      </c>
      <c r="J219" s="13">
        <v>37409.7</v>
      </c>
      <c r="K219" s="13">
        <v>27596.7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47"/>
      <c r="S219" s="147"/>
      <c r="T219" s="11"/>
    </row>
    <row r="220" spans="1:21" ht="18" customHeight="1">
      <c r="A220" s="164"/>
      <c r="B220" s="206"/>
      <c r="C220" s="93"/>
      <c r="D220" s="93"/>
      <c r="E220" s="34" t="s">
        <v>119</v>
      </c>
      <c r="F220" s="8"/>
      <c r="G220" s="12" t="s">
        <v>61</v>
      </c>
      <c r="H220" s="13">
        <f t="shared" si="60"/>
        <v>67649.59999999999</v>
      </c>
      <c r="I220" s="13">
        <f>K220+M220+O220+Q220</f>
        <v>44426.2</v>
      </c>
      <c r="J220" s="13">
        <f>68461.9-812.3</f>
        <v>67649.59999999999</v>
      </c>
      <c r="K220" s="13">
        <v>44426.2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47"/>
      <c r="S220" s="147"/>
      <c r="T220" s="112"/>
      <c r="U220" s="11"/>
    </row>
    <row r="221" spans="1:21" ht="18" customHeight="1">
      <c r="A221" s="164"/>
      <c r="B221" s="206"/>
      <c r="C221" s="110" t="s">
        <v>163</v>
      </c>
      <c r="D221" s="110" t="s">
        <v>164</v>
      </c>
      <c r="E221" s="34"/>
      <c r="F221" s="8"/>
      <c r="G221" s="139" t="s">
        <v>110</v>
      </c>
      <c r="H221" s="138">
        <f t="shared" si="60"/>
        <v>38530.32</v>
      </c>
      <c r="I221" s="138">
        <f>K221</f>
        <v>38530.32</v>
      </c>
      <c r="J221" s="138">
        <f>K221</f>
        <v>38530.32</v>
      </c>
      <c r="K221" s="138">
        <f>(6+20+330+1356.15+4994.57+200+365.5+772.8+33585.4)-3100.1</f>
        <v>38530.32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47"/>
      <c r="S221" s="147"/>
      <c r="T221" s="112"/>
      <c r="U221" s="11"/>
    </row>
    <row r="222" spans="1:21" ht="18" customHeight="1">
      <c r="A222" s="164"/>
      <c r="B222" s="206"/>
      <c r="C222" s="93"/>
      <c r="D222" s="93"/>
      <c r="E222" s="34"/>
      <c r="F222" s="8"/>
      <c r="G222" s="67" t="s">
        <v>111</v>
      </c>
      <c r="H222" s="68">
        <f t="shared" si="60"/>
        <v>44906.1</v>
      </c>
      <c r="I222" s="68">
        <v>44574.1</v>
      </c>
      <c r="J222" s="68">
        <f>73091.5-28185.4</f>
        <v>44906.1</v>
      </c>
      <c r="K222" s="68">
        <v>44574.1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47"/>
      <c r="S222" s="147"/>
      <c r="T222" s="11"/>
      <c r="U222" s="11"/>
    </row>
    <row r="223" spans="1:21" ht="18" customHeight="1">
      <c r="A223" s="164"/>
      <c r="B223" s="206"/>
      <c r="C223" s="93"/>
      <c r="D223" s="93"/>
      <c r="E223" s="34"/>
      <c r="F223" s="8"/>
      <c r="G223" s="67" t="s">
        <v>112</v>
      </c>
      <c r="H223" s="68">
        <f>J223</f>
        <v>44906.1</v>
      </c>
      <c r="I223" s="68">
        <v>44574.1</v>
      </c>
      <c r="J223" s="68">
        <f>73091.5-28185.4</f>
        <v>44906.1</v>
      </c>
      <c r="K223" s="68">
        <v>44574.1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47"/>
      <c r="S223" s="147"/>
      <c r="T223" s="11">
        <f>3169.2+9848.6</f>
        <v>13017.8</v>
      </c>
      <c r="U223" s="11"/>
    </row>
    <row r="224" spans="1:21" ht="18" customHeight="1">
      <c r="A224" s="164"/>
      <c r="B224" s="206"/>
      <c r="C224" s="93"/>
      <c r="D224" s="93"/>
      <c r="E224" s="34"/>
      <c r="F224" s="8"/>
      <c r="G224" s="67" t="s">
        <v>113</v>
      </c>
      <c r="H224" s="68">
        <f>J224</f>
        <v>44906.1</v>
      </c>
      <c r="I224" s="68">
        <v>0</v>
      </c>
      <c r="J224" s="68">
        <f>73091.5-28185.4</f>
        <v>44906.1</v>
      </c>
      <c r="K224" s="68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47"/>
      <c r="S224" s="147"/>
      <c r="T224" s="112"/>
      <c r="U224" s="11"/>
    </row>
    <row r="225" spans="1:20" ht="18" customHeight="1">
      <c r="A225" s="165"/>
      <c r="B225" s="207"/>
      <c r="C225" s="94"/>
      <c r="D225" s="94"/>
      <c r="E225" s="35"/>
      <c r="F225" s="8"/>
      <c r="G225" s="12" t="s">
        <v>72</v>
      </c>
      <c r="H225" s="13">
        <f>H224</f>
        <v>44906.1</v>
      </c>
      <c r="I225" s="13">
        <v>0</v>
      </c>
      <c r="J225" s="13">
        <f>J224</f>
        <v>44906.1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47"/>
      <c r="S225" s="147"/>
      <c r="T225" s="11"/>
    </row>
    <row r="226" spans="1:20" ht="18" customHeight="1">
      <c r="A226" s="163">
        <v>18</v>
      </c>
      <c r="B226" s="205" t="s">
        <v>116</v>
      </c>
      <c r="C226" s="74"/>
      <c r="D226" s="74"/>
      <c r="E226" s="144" t="s">
        <v>50</v>
      </c>
      <c r="F226" s="8"/>
      <c r="G226" s="9" t="s">
        <v>9</v>
      </c>
      <c r="H226" s="10">
        <f aca="true" t="shared" si="61" ref="H226:Q226">SUM(H227:H237)</f>
        <v>55960.3</v>
      </c>
      <c r="I226" s="10">
        <f t="shared" si="61"/>
        <v>19476.42</v>
      </c>
      <c r="J226" s="10">
        <f t="shared" si="61"/>
        <v>55960.3</v>
      </c>
      <c r="K226" s="10">
        <f t="shared" si="61"/>
        <v>19476.42</v>
      </c>
      <c r="L226" s="10">
        <f t="shared" si="61"/>
        <v>0</v>
      </c>
      <c r="M226" s="10">
        <f t="shared" si="61"/>
        <v>0</v>
      </c>
      <c r="N226" s="10">
        <f t="shared" si="61"/>
        <v>0</v>
      </c>
      <c r="O226" s="10">
        <f t="shared" si="61"/>
        <v>0</v>
      </c>
      <c r="P226" s="10">
        <f t="shared" si="61"/>
        <v>0</v>
      </c>
      <c r="Q226" s="10">
        <f t="shared" si="61"/>
        <v>0</v>
      </c>
      <c r="R226" s="147" t="s">
        <v>134</v>
      </c>
      <c r="S226" s="147"/>
      <c r="T226" s="11">
        <f>3169.2+9848.6</f>
        <v>13017.8</v>
      </c>
    </row>
    <row r="227" spans="1:20" ht="18" customHeight="1">
      <c r="A227" s="164"/>
      <c r="B227" s="206"/>
      <c r="C227" s="75"/>
      <c r="D227" s="75"/>
      <c r="E227" s="145"/>
      <c r="F227" s="8"/>
      <c r="G227" s="12" t="s">
        <v>13</v>
      </c>
      <c r="H227" s="13">
        <f>J227+L227+N227+P227</f>
        <v>0</v>
      </c>
      <c r="I227" s="13">
        <f>K227+M227+O227+Q227</f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47"/>
      <c r="S227" s="147"/>
      <c r="T227" s="11"/>
    </row>
    <row r="228" spans="1:20" ht="18" customHeight="1">
      <c r="A228" s="164"/>
      <c r="B228" s="206"/>
      <c r="C228" s="75"/>
      <c r="D228" s="75"/>
      <c r="E228" s="145"/>
      <c r="F228" s="8"/>
      <c r="G228" s="12" t="s">
        <v>11</v>
      </c>
      <c r="H228" s="13">
        <f aca="true" t="shared" si="62" ref="H228:H237">J228+L228+N228+P228</f>
        <v>0</v>
      </c>
      <c r="I228" s="13">
        <f aca="true" t="shared" si="63" ref="I228:I237">K228+M228+O228+Q228</f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47"/>
      <c r="S228" s="147"/>
      <c r="T228" s="11"/>
    </row>
    <row r="229" spans="1:20" ht="18" customHeight="1">
      <c r="A229" s="164"/>
      <c r="B229" s="206"/>
      <c r="C229" s="75"/>
      <c r="D229" s="75"/>
      <c r="E229" s="145"/>
      <c r="F229" s="8"/>
      <c r="G229" s="12" t="s">
        <v>12</v>
      </c>
      <c r="H229" s="13">
        <f t="shared" si="62"/>
        <v>0</v>
      </c>
      <c r="I229" s="13">
        <f t="shared" si="63"/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47"/>
      <c r="S229" s="147"/>
      <c r="T229" s="11"/>
    </row>
    <row r="230" spans="1:20" ht="18" customHeight="1">
      <c r="A230" s="164"/>
      <c r="B230" s="206"/>
      <c r="C230" s="75"/>
      <c r="D230" s="75"/>
      <c r="E230" s="145"/>
      <c r="F230" s="8"/>
      <c r="G230" s="12" t="s">
        <v>14</v>
      </c>
      <c r="H230" s="13">
        <f t="shared" si="62"/>
        <v>0</v>
      </c>
      <c r="I230" s="13">
        <f t="shared" si="63"/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47"/>
      <c r="S230" s="147"/>
      <c r="T230" s="11">
        <f>26477.9+34576.6</f>
        <v>61054.5</v>
      </c>
    </row>
    <row r="231" spans="1:20" ht="18" customHeight="1">
      <c r="A231" s="164"/>
      <c r="B231" s="206"/>
      <c r="C231" s="75"/>
      <c r="D231" s="75"/>
      <c r="E231" s="145"/>
      <c r="F231" s="8"/>
      <c r="G231" s="12" t="s">
        <v>15</v>
      </c>
      <c r="H231" s="13">
        <f t="shared" si="62"/>
        <v>3500</v>
      </c>
      <c r="I231" s="13">
        <f t="shared" si="63"/>
        <v>3500</v>
      </c>
      <c r="J231" s="13">
        <v>3500</v>
      </c>
      <c r="K231" s="13">
        <v>3500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47"/>
      <c r="S231" s="147"/>
      <c r="T231" s="11"/>
    </row>
    <row r="232" spans="1:20" ht="18" customHeight="1">
      <c r="A232" s="164"/>
      <c r="B232" s="206"/>
      <c r="C232" s="75"/>
      <c r="D232" s="75"/>
      <c r="E232" s="145"/>
      <c r="F232" s="8"/>
      <c r="G232" s="12" t="s">
        <v>61</v>
      </c>
      <c r="H232" s="13">
        <f t="shared" si="62"/>
        <v>4273</v>
      </c>
      <c r="I232" s="13">
        <f t="shared" si="63"/>
        <v>3525.12</v>
      </c>
      <c r="J232" s="13">
        <v>4273</v>
      </c>
      <c r="K232" s="13">
        <v>3525.12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47"/>
      <c r="S232" s="147"/>
      <c r="T232" s="11"/>
    </row>
    <row r="233" spans="1:20" ht="18" customHeight="1">
      <c r="A233" s="164"/>
      <c r="B233" s="206"/>
      <c r="C233" s="110" t="s">
        <v>163</v>
      </c>
      <c r="D233" s="110" t="s">
        <v>164</v>
      </c>
      <c r="E233" s="145"/>
      <c r="F233" s="8"/>
      <c r="G233" s="129" t="s">
        <v>110</v>
      </c>
      <c r="H233" s="130">
        <f t="shared" si="62"/>
        <v>3905.3</v>
      </c>
      <c r="I233" s="130">
        <f t="shared" si="63"/>
        <v>3905.3</v>
      </c>
      <c r="J233" s="130">
        <f>K233</f>
        <v>3905.3</v>
      </c>
      <c r="K233" s="130">
        <v>3905.3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47"/>
      <c r="S233" s="147"/>
      <c r="T233" s="11"/>
    </row>
    <row r="234" spans="1:20" ht="18" customHeight="1">
      <c r="A234" s="164"/>
      <c r="B234" s="206"/>
      <c r="C234" s="75"/>
      <c r="D234" s="75"/>
      <c r="E234" s="145"/>
      <c r="F234" s="8"/>
      <c r="G234" s="67" t="s">
        <v>111</v>
      </c>
      <c r="H234" s="68">
        <f t="shared" si="62"/>
        <v>11070.5</v>
      </c>
      <c r="I234" s="68">
        <f t="shared" si="63"/>
        <v>4273</v>
      </c>
      <c r="J234" s="68">
        <v>11070.5</v>
      </c>
      <c r="K234" s="68">
        <v>4273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47"/>
      <c r="S234" s="147"/>
      <c r="T234" s="111"/>
    </row>
    <row r="235" spans="1:20" ht="18" customHeight="1">
      <c r="A235" s="164"/>
      <c r="B235" s="206"/>
      <c r="C235" s="75"/>
      <c r="D235" s="75"/>
      <c r="E235" s="145"/>
      <c r="F235" s="8"/>
      <c r="G235" s="67" t="s">
        <v>112</v>
      </c>
      <c r="H235" s="68">
        <f>J235</f>
        <v>11070.5</v>
      </c>
      <c r="I235" s="68">
        <v>4273</v>
      </c>
      <c r="J235" s="68">
        <v>11070.5</v>
      </c>
      <c r="K235" s="68">
        <v>4273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47"/>
      <c r="S235" s="147"/>
      <c r="T235" s="11"/>
    </row>
    <row r="236" spans="1:20" ht="18" customHeight="1">
      <c r="A236" s="164"/>
      <c r="B236" s="206"/>
      <c r="C236" s="75"/>
      <c r="D236" s="75"/>
      <c r="E236" s="145"/>
      <c r="F236" s="8"/>
      <c r="G236" s="67" t="s">
        <v>113</v>
      </c>
      <c r="H236" s="68">
        <f t="shared" si="62"/>
        <v>11070.5</v>
      </c>
      <c r="I236" s="68">
        <f t="shared" si="63"/>
        <v>0</v>
      </c>
      <c r="J236" s="68">
        <v>11070.5</v>
      </c>
      <c r="K236" s="68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47"/>
      <c r="S236" s="147"/>
      <c r="T236" s="11"/>
    </row>
    <row r="237" spans="1:20" ht="18" customHeight="1">
      <c r="A237" s="165"/>
      <c r="B237" s="207"/>
      <c r="C237" s="76"/>
      <c r="D237" s="76"/>
      <c r="E237" s="146"/>
      <c r="F237" s="8"/>
      <c r="G237" s="12" t="s">
        <v>72</v>
      </c>
      <c r="H237" s="13">
        <f t="shared" si="62"/>
        <v>11070.5</v>
      </c>
      <c r="I237" s="13">
        <f t="shared" si="63"/>
        <v>0</v>
      </c>
      <c r="J237" s="13">
        <v>11070.5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47"/>
      <c r="S237" s="147"/>
      <c r="T237" s="11"/>
    </row>
    <row r="238" spans="1:20" ht="18" customHeight="1">
      <c r="A238" s="163">
        <v>19</v>
      </c>
      <c r="B238" s="205" t="s">
        <v>123</v>
      </c>
      <c r="C238" s="89"/>
      <c r="D238" s="89"/>
      <c r="E238" s="33"/>
      <c r="F238" s="12"/>
      <c r="G238" s="9" t="s">
        <v>9</v>
      </c>
      <c r="H238" s="13">
        <f>SUM(H239:H249)</f>
        <v>10228.199999999999</v>
      </c>
      <c r="I238" s="13">
        <f aca="true" t="shared" si="64" ref="I238:Q238">SUM(I239:I249)</f>
        <v>10228.199999999999</v>
      </c>
      <c r="J238" s="13">
        <f t="shared" si="64"/>
        <v>5398.299999999999</v>
      </c>
      <c r="K238" s="13">
        <f t="shared" si="64"/>
        <v>5398.299999999999</v>
      </c>
      <c r="L238" s="13">
        <f t="shared" si="64"/>
        <v>0</v>
      </c>
      <c r="M238" s="13">
        <f t="shared" si="64"/>
        <v>0</v>
      </c>
      <c r="N238" s="13">
        <f t="shared" si="64"/>
        <v>4829.9</v>
      </c>
      <c r="O238" s="13">
        <f t="shared" si="64"/>
        <v>4829.9</v>
      </c>
      <c r="P238" s="13">
        <f t="shared" si="64"/>
        <v>0</v>
      </c>
      <c r="Q238" s="13">
        <f t="shared" si="64"/>
        <v>0</v>
      </c>
      <c r="R238" s="148" t="s">
        <v>134</v>
      </c>
      <c r="S238" s="149"/>
      <c r="T238" s="11"/>
    </row>
    <row r="239" spans="1:20" ht="18" customHeight="1">
      <c r="A239" s="164"/>
      <c r="B239" s="206"/>
      <c r="C239" s="90"/>
      <c r="D239" s="90"/>
      <c r="E239" s="34"/>
      <c r="F239" s="12"/>
      <c r="G239" s="12" t="s">
        <v>13</v>
      </c>
      <c r="H239" s="13">
        <f>J239+L239+N239+P239</f>
        <v>0</v>
      </c>
      <c r="I239" s="13">
        <f>K239+M239+O239+Q239</f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50"/>
      <c r="S239" s="151"/>
      <c r="T239" s="11"/>
    </row>
    <row r="240" spans="1:20" ht="18" customHeight="1">
      <c r="A240" s="164"/>
      <c r="B240" s="206"/>
      <c r="C240" s="90"/>
      <c r="D240" s="90"/>
      <c r="E240" s="34"/>
      <c r="F240" s="12"/>
      <c r="G240" s="12" t="s">
        <v>11</v>
      </c>
      <c r="H240" s="13">
        <f aca="true" t="shared" si="65" ref="H240:H249">J240+L240+N240+P240</f>
        <v>0</v>
      </c>
      <c r="I240" s="13">
        <f aca="true" t="shared" si="66" ref="I240:I249">K240+M240+O240+Q240</f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50"/>
      <c r="S240" s="151"/>
      <c r="T240" s="11"/>
    </row>
    <row r="241" spans="1:20" ht="18" customHeight="1">
      <c r="A241" s="164"/>
      <c r="B241" s="206"/>
      <c r="C241" s="90"/>
      <c r="D241" s="90"/>
      <c r="E241" s="34"/>
      <c r="F241" s="12"/>
      <c r="G241" s="12" t="s">
        <v>12</v>
      </c>
      <c r="H241" s="13">
        <f t="shared" si="65"/>
        <v>0</v>
      </c>
      <c r="I241" s="13">
        <f t="shared" si="66"/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50"/>
      <c r="S241" s="151"/>
      <c r="T241" s="11"/>
    </row>
    <row r="242" spans="1:20" ht="18" customHeight="1">
      <c r="A242" s="164"/>
      <c r="B242" s="206"/>
      <c r="C242" s="90"/>
      <c r="D242" s="90"/>
      <c r="E242" s="34"/>
      <c r="F242" s="12"/>
      <c r="G242" s="12" t="s">
        <v>14</v>
      </c>
      <c r="H242" s="13">
        <f t="shared" si="65"/>
        <v>0</v>
      </c>
      <c r="I242" s="13">
        <f t="shared" si="66"/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50"/>
      <c r="S242" s="151"/>
      <c r="T242" s="11"/>
    </row>
    <row r="243" spans="1:20" ht="24.75" customHeight="1">
      <c r="A243" s="164"/>
      <c r="B243" s="206"/>
      <c r="C243" s="110" t="s">
        <v>163</v>
      </c>
      <c r="D243" s="110" t="s">
        <v>164</v>
      </c>
      <c r="E243" s="36" t="s">
        <v>124</v>
      </c>
      <c r="F243" s="12"/>
      <c r="G243" s="12" t="s">
        <v>15</v>
      </c>
      <c r="H243" s="13">
        <f t="shared" si="65"/>
        <v>5398.299999999999</v>
      </c>
      <c r="I243" s="13">
        <f t="shared" si="66"/>
        <v>5398.299999999999</v>
      </c>
      <c r="J243" s="13">
        <v>568.4</v>
      </c>
      <c r="K243" s="13">
        <v>568.4</v>
      </c>
      <c r="L243" s="13">
        <v>0</v>
      </c>
      <c r="M243" s="13">
        <v>0</v>
      </c>
      <c r="N243" s="13">
        <v>4829.9</v>
      </c>
      <c r="O243" s="13">
        <v>4829.9</v>
      </c>
      <c r="P243" s="13">
        <v>0</v>
      </c>
      <c r="Q243" s="13">
        <v>0</v>
      </c>
      <c r="R243" s="150"/>
      <c r="S243" s="151"/>
      <c r="T243" s="11">
        <f>J150+J114</f>
        <v>868.7</v>
      </c>
    </row>
    <row r="244" spans="1:20" ht="18" customHeight="1">
      <c r="A244" s="164"/>
      <c r="B244" s="206"/>
      <c r="C244" s="90"/>
      <c r="D244" s="90"/>
      <c r="E244" s="36" t="s">
        <v>125</v>
      </c>
      <c r="F244" s="12"/>
      <c r="G244" s="12" t="s">
        <v>61</v>
      </c>
      <c r="H244" s="13">
        <f t="shared" si="65"/>
        <v>0</v>
      </c>
      <c r="I244" s="13">
        <f t="shared" si="66"/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50"/>
      <c r="S244" s="151"/>
      <c r="T244" s="11"/>
    </row>
    <row r="245" spans="1:20" ht="18" customHeight="1">
      <c r="A245" s="164"/>
      <c r="B245" s="206"/>
      <c r="C245" s="90"/>
      <c r="D245" s="90"/>
      <c r="E245" s="34"/>
      <c r="F245" s="12"/>
      <c r="G245" s="129" t="s">
        <v>110</v>
      </c>
      <c r="H245" s="130">
        <f t="shared" si="65"/>
        <v>4829.9</v>
      </c>
      <c r="I245" s="130">
        <f t="shared" si="66"/>
        <v>4829.9</v>
      </c>
      <c r="J245" s="130">
        <v>4829.9</v>
      </c>
      <c r="K245" s="130">
        <v>4829.9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50"/>
      <c r="S245" s="151"/>
      <c r="T245" s="11"/>
    </row>
    <row r="246" spans="1:20" ht="18" customHeight="1">
      <c r="A246" s="164"/>
      <c r="B246" s="206"/>
      <c r="C246" s="90"/>
      <c r="D246" s="90"/>
      <c r="E246" s="34"/>
      <c r="F246" s="12"/>
      <c r="G246" s="12" t="s">
        <v>111</v>
      </c>
      <c r="H246" s="13">
        <f t="shared" si="65"/>
        <v>0</v>
      </c>
      <c r="I246" s="13">
        <f t="shared" si="66"/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50"/>
      <c r="S246" s="151"/>
      <c r="T246" s="11"/>
    </row>
    <row r="247" spans="1:20" ht="18" customHeight="1">
      <c r="A247" s="164"/>
      <c r="B247" s="206"/>
      <c r="C247" s="90"/>
      <c r="D247" s="90"/>
      <c r="E247" s="34"/>
      <c r="F247" s="12"/>
      <c r="G247" s="12" t="s">
        <v>112</v>
      </c>
      <c r="H247" s="13">
        <f t="shared" si="65"/>
        <v>0</v>
      </c>
      <c r="I247" s="13">
        <f t="shared" si="66"/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50"/>
      <c r="S247" s="151"/>
      <c r="T247" s="11"/>
    </row>
    <row r="248" spans="1:20" ht="18" customHeight="1">
      <c r="A248" s="164"/>
      <c r="B248" s="206"/>
      <c r="C248" s="90"/>
      <c r="D248" s="90"/>
      <c r="E248" s="34"/>
      <c r="F248" s="12"/>
      <c r="G248" s="12" t="s">
        <v>113</v>
      </c>
      <c r="H248" s="13">
        <f t="shared" si="65"/>
        <v>0</v>
      </c>
      <c r="I248" s="13">
        <f t="shared" si="66"/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50"/>
      <c r="S248" s="151"/>
      <c r="T248" s="11"/>
    </row>
    <row r="249" spans="1:20" ht="18" customHeight="1">
      <c r="A249" s="165"/>
      <c r="B249" s="207"/>
      <c r="C249" s="91"/>
      <c r="D249" s="91"/>
      <c r="E249" s="35"/>
      <c r="F249" s="12"/>
      <c r="G249" s="12" t="s">
        <v>72</v>
      </c>
      <c r="H249" s="13">
        <f t="shared" si="65"/>
        <v>0</v>
      </c>
      <c r="I249" s="13">
        <f t="shared" si="66"/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52"/>
      <c r="S249" s="153"/>
      <c r="T249" s="11"/>
    </row>
    <row r="250" spans="1:34" ht="18" customHeight="1">
      <c r="A250" s="234"/>
      <c r="B250" s="214" t="s">
        <v>38</v>
      </c>
      <c r="C250" s="72"/>
      <c r="D250" s="72"/>
      <c r="E250" s="214"/>
      <c r="F250" s="12"/>
      <c r="G250" s="28" t="s">
        <v>9</v>
      </c>
      <c r="H250" s="10">
        <f aca="true" t="shared" si="67" ref="H250:Q250">SUM(H251:H261)</f>
        <v>768817.6599999999</v>
      </c>
      <c r="I250" s="10">
        <f t="shared" si="67"/>
        <v>371976.02793</v>
      </c>
      <c r="J250" s="10">
        <f t="shared" si="67"/>
        <v>760987.76</v>
      </c>
      <c r="K250" s="10">
        <f t="shared" si="67"/>
        <v>364146.102</v>
      </c>
      <c r="L250" s="10">
        <f t="shared" si="67"/>
        <v>0</v>
      </c>
      <c r="M250" s="10">
        <f t="shared" si="67"/>
        <v>0</v>
      </c>
      <c r="N250" s="10">
        <f t="shared" si="67"/>
        <v>7829.9</v>
      </c>
      <c r="O250" s="10">
        <f t="shared" si="67"/>
        <v>7829.9</v>
      </c>
      <c r="P250" s="10">
        <f t="shared" si="67"/>
        <v>0</v>
      </c>
      <c r="Q250" s="10">
        <f t="shared" si="67"/>
        <v>0</v>
      </c>
      <c r="R250" s="157"/>
      <c r="S250" s="158"/>
      <c r="T250" s="11"/>
      <c r="AH250" s="2" t="s">
        <v>98</v>
      </c>
    </row>
    <row r="251" spans="1:35" ht="18" customHeight="1">
      <c r="A251" s="234"/>
      <c r="B251" s="214"/>
      <c r="C251" s="72"/>
      <c r="D251" s="72"/>
      <c r="E251" s="214"/>
      <c r="F251" s="12"/>
      <c r="G251" s="8" t="s">
        <v>13</v>
      </c>
      <c r="H251" s="13">
        <f>J251+L251+N251+P251</f>
        <v>65034.9</v>
      </c>
      <c r="I251" s="13">
        <f aca="true" t="shared" si="68" ref="I251:Q251">I23+I35+I47+I59+I71+I83+I95+I107+I131+I143+I155+I167+I179+I191+I203+I119+I215+I227+I239</f>
        <v>12276.3</v>
      </c>
      <c r="J251" s="13">
        <f t="shared" si="68"/>
        <v>62034.9</v>
      </c>
      <c r="K251" s="13">
        <f t="shared" si="68"/>
        <v>9276.3</v>
      </c>
      <c r="L251" s="13">
        <f t="shared" si="68"/>
        <v>0</v>
      </c>
      <c r="M251" s="13">
        <f t="shared" si="68"/>
        <v>0</v>
      </c>
      <c r="N251" s="13">
        <f t="shared" si="68"/>
        <v>3000</v>
      </c>
      <c r="O251" s="13">
        <f t="shared" si="68"/>
        <v>3000</v>
      </c>
      <c r="P251" s="13">
        <f t="shared" si="68"/>
        <v>0</v>
      </c>
      <c r="Q251" s="13">
        <f t="shared" si="68"/>
        <v>0</v>
      </c>
      <c r="R251" s="159"/>
      <c r="S251" s="160"/>
      <c r="T251" s="11"/>
      <c r="AD251" s="11">
        <f>AD25+AD40+AD85+AD98+AD184+AD193+AD206</f>
        <v>18420102.369999997</v>
      </c>
      <c r="AG251" s="11">
        <f>SUM(AG25+AG40+AG85+AG98+AG184+AG193+AG206)</f>
        <v>16569979.9</v>
      </c>
      <c r="AH251" s="11">
        <f>AD251-AG251</f>
        <v>1850122.469999997</v>
      </c>
      <c r="AI251" s="11"/>
    </row>
    <row r="252" spans="1:30" ht="18" customHeight="1">
      <c r="A252" s="234"/>
      <c r="B252" s="214"/>
      <c r="C252" s="72"/>
      <c r="D252" s="72"/>
      <c r="E252" s="214"/>
      <c r="F252" s="12"/>
      <c r="G252" s="8" t="s">
        <v>11</v>
      </c>
      <c r="H252" s="13">
        <f aca="true" t="shared" si="69" ref="H252:H261">J252+L252+N252+P252</f>
        <v>72071.1</v>
      </c>
      <c r="I252" s="13">
        <f aca="true" t="shared" si="70" ref="I252:Q252">I24+I36+I48+I60+I72+I84+I96+I108+I132+I144+I156+I168+I180+I192+I204+I120+I216+I228+I240</f>
        <v>26383.899999999994</v>
      </c>
      <c r="J252" s="13">
        <f t="shared" si="70"/>
        <v>72071.1</v>
      </c>
      <c r="K252" s="13">
        <f t="shared" si="70"/>
        <v>26383.899999999994</v>
      </c>
      <c r="L252" s="13">
        <f t="shared" si="70"/>
        <v>0</v>
      </c>
      <c r="M252" s="13">
        <f t="shared" si="70"/>
        <v>0</v>
      </c>
      <c r="N252" s="13">
        <f t="shared" si="70"/>
        <v>0</v>
      </c>
      <c r="O252" s="13">
        <f t="shared" si="70"/>
        <v>0</v>
      </c>
      <c r="P252" s="13">
        <f t="shared" si="70"/>
        <v>0</v>
      </c>
      <c r="Q252" s="13">
        <f t="shared" si="70"/>
        <v>0</v>
      </c>
      <c r="R252" s="159"/>
      <c r="S252" s="160"/>
      <c r="T252" s="14"/>
      <c r="U252" s="14" t="s">
        <v>73</v>
      </c>
      <c r="V252" s="14" t="s">
        <v>74</v>
      </c>
      <c r="W252" s="14" t="s">
        <v>75</v>
      </c>
      <c r="X252" s="14" t="s">
        <v>76</v>
      </c>
      <c r="Y252" s="14" t="s">
        <v>77</v>
      </c>
      <c r="Z252" s="14" t="s">
        <v>78</v>
      </c>
      <c r="AA252" s="14" t="s">
        <v>79</v>
      </c>
      <c r="AB252" s="14" t="s">
        <v>80</v>
      </c>
      <c r="AC252" s="14" t="s">
        <v>81</v>
      </c>
      <c r="AD252" s="14" t="s">
        <v>82</v>
      </c>
    </row>
    <row r="253" spans="1:34" ht="18" customHeight="1">
      <c r="A253" s="234"/>
      <c r="B253" s="214"/>
      <c r="C253" s="72"/>
      <c r="D253" s="72"/>
      <c r="E253" s="214"/>
      <c r="F253" s="12"/>
      <c r="G253" s="8" t="s">
        <v>12</v>
      </c>
      <c r="H253" s="13">
        <f t="shared" si="69"/>
        <v>70729.3</v>
      </c>
      <c r="I253" s="13">
        <f aca="true" t="shared" si="71" ref="I253:Q253">I25+I37+I49+I61+I73+I85+I97+I109+I133+I145+I157+I169+I181+I193+I205+I121+I217+I229+I241</f>
        <v>20105.5</v>
      </c>
      <c r="J253" s="13">
        <f t="shared" si="71"/>
        <v>70729.3</v>
      </c>
      <c r="K253" s="13">
        <f t="shared" si="71"/>
        <v>20105.5</v>
      </c>
      <c r="L253" s="13">
        <f t="shared" si="71"/>
        <v>0</v>
      </c>
      <c r="M253" s="13">
        <f t="shared" si="71"/>
        <v>0</v>
      </c>
      <c r="N253" s="13">
        <f t="shared" si="71"/>
        <v>0</v>
      </c>
      <c r="O253" s="13">
        <f t="shared" si="71"/>
        <v>0</v>
      </c>
      <c r="P253" s="13">
        <f t="shared" si="71"/>
        <v>0</v>
      </c>
      <c r="Q253" s="13">
        <f t="shared" si="71"/>
        <v>0</v>
      </c>
      <c r="R253" s="159"/>
      <c r="S253" s="160"/>
      <c r="T253" s="16"/>
      <c r="U253" s="16" t="s">
        <v>85</v>
      </c>
      <c r="V253" s="16" t="s">
        <v>86</v>
      </c>
      <c r="W253" s="16" t="s">
        <v>87</v>
      </c>
      <c r="X253" s="16" t="s">
        <v>88</v>
      </c>
      <c r="Y253" s="16" t="s">
        <v>89</v>
      </c>
      <c r="Z253" s="16" t="s">
        <v>90</v>
      </c>
      <c r="AA253" s="16" t="s">
        <v>91</v>
      </c>
      <c r="AB253" s="16" t="s">
        <v>92</v>
      </c>
      <c r="AC253" s="16" t="s">
        <v>93</v>
      </c>
      <c r="AD253" s="17">
        <f>AD24+AD36+AD72+AD84+AD96+AD120+AD181+AD192+AD204</f>
        <v>263250</v>
      </c>
      <c r="AG253" s="11">
        <f>AG24+AG36+AG72+AG84+AG96+AG120+AG181+AG192+AG204</f>
        <v>263250</v>
      </c>
      <c r="AH253" s="11">
        <f>AD253-AG253</f>
        <v>0</v>
      </c>
    </row>
    <row r="254" spans="1:36" ht="18" customHeight="1">
      <c r="A254" s="234"/>
      <c r="B254" s="214"/>
      <c r="C254" s="72"/>
      <c r="D254" s="72"/>
      <c r="E254" s="214"/>
      <c r="F254" s="12"/>
      <c r="G254" s="8" t="s">
        <v>14</v>
      </c>
      <c r="H254" s="13">
        <f t="shared" si="69"/>
        <v>51148.799999999996</v>
      </c>
      <c r="I254" s="13">
        <f aca="true" t="shared" si="72" ref="I254:Q254">I26+I38+I50+I62+I74+I86+I98+I110+I134+I146+I158+I170+I182+I194+I206+I122+I218+I230+I242</f>
        <v>22175</v>
      </c>
      <c r="J254" s="13">
        <f t="shared" si="72"/>
        <v>51148.799999999996</v>
      </c>
      <c r="K254" s="13">
        <f t="shared" si="72"/>
        <v>22175</v>
      </c>
      <c r="L254" s="13">
        <f t="shared" si="72"/>
        <v>0</v>
      </c>
      <c r="M254" s="13">
        <f t="shared" si="72"/>
        <v>0</v>
      </c>
      <c r="N254" s="13">
        <f t="shared" si="72"/>
        <v>0</v>
      </c>
      <c r="O254" s="13">
        <f t="shared" si="72"/>
        <v>0</v>
      </c>
      <c r="P254" s="13">
        <f t="shared" si="72"/>
        <v>0</v>
      </c>
      <c r="Q254" s="13">
        <f t="shared" si="72"/>
        <v>0</v>
      </c>
      <c r="R254" s="159"/>
      <c r="S254" s="160"/>
      <c r="T254" s="16"/>
      <c r="U254" s="16" t="s">
        <v>85</v>
      </c>
      <c r="V254" s="16" t="s">
        <v>86</v>
      </c>
      <c r="W254" s="16" t="s">
        <v>94</v>
      </c>
      <c r="X254" s="16" t="s">
        <v>88</v>
      </c>
      <c r="Y254" s="16" t="s">
        <v>89</v>
      </c>
      <c r="Z254" s="16" t="s">
        <v>95</v>
      </c>
      <c r="AA254" s="16" t="s">
        <v>91</v>
      </c>
      <c r="AB254" s="16" t="s">
        <v>92</v>
      </c>
      <c r="AC254" s="16" t="s">
        <v>93</v>
      </c>
      <c r="AD254" s="17">
        <f>AD25+AD37+AD73+AD85+AD97+AD121+AD182+AD193+AD205</f>
        <v>9007520.59</v>
      </c>
      <c r="AG254" s="11">
        <f>AG25+AG37+AG73+AG85+AG97+AG121+AG182+AG193+AG205</f>
        <v>8350728.1</v>
      </c>
      <c r="AH254" s="11">
        <f>AD254-AG254</f>
        <v>656792.4900000002</v>
      </c>
      <c r="AI254" s="2">
        <v>656792.49</v>
      </c>
      <c r="AJ254" s="11">
        <f>AH254-AI254</f>
        <v>0</v>
      </c>
    </row>
    <row r="255" spans="1:35" ht="18" customHeight="1">
      <c r="A255" s="234"/>
      <c r="B255" s="214"/>
      <c r="C255" s="72"/>
      <c r="D255" s="72"/>
      <c r="E255" s="214"/>
      <c r="F255" s="12"/>
      <c r="G255" s="8" t="s">
        <v>15</v>
      </c>
      <c r="H255" s="13">
        <f t="shared" si="69"/>
        <v>57687.6</v>
      </c>
      <c r="I255" s="13">
        <f aca="true" t="shared" si="73" ref="I255:Q255">I27+I39+I51+I63+I75+I87+I99+I111+I135+I147+I159+I171+I183+I195+I207+I123+I219+I231+I243</f>
        <v>46269.399999999994</v>
      </c>
      <c r="J255" s="13">
        <f t="shared" si="73"/>
        <v>52857.7</v>
      </c>
      <c r="K255" s="13">
        <v>41439.5</v>
      </c>
      <c r="L255" s="13">
        <f t="shared" si="73"/>
        <v>0</v>
      </c>
      <c r="M255" s="13">
        <f t="shared" si="73"/>
        <v>0</v>
      </c>
      <c r="N255" s="13">
        <f t="shared" si="73"/>
        <v>4829.9</v>
      </c>
      <c r="O255" s="13">
        <f t="shared" si="73"/>
        <v>4829.9</v>
      </c>
      <c r="P255" s="13">
        <f t="shared" si="73"/>
        <v>0</v>
      </c>
      <c r="Q255" s="13">
        <f t="shared" si="73"/>
        <v>0</v>
      </c>
      <c r="R255" s="159"/>
      <c r="S255" s="160"/>
      <c r="T255" s="16"/>
      <c r="U255" s="16" t="s">
        <v>85</v>
      </c>
      <c r="V255" s="16" t="s">
        <v>86</v>
      </c>
      <c r="W255" s="16" t="s">
        <v>94</v>
      </c>
      <c r="X255" s="16" t="s">
        <v>88</v>
      </c>
      <c r="Y255" s="16" t="s">
        <v>96</v>
      </c>
      <c r="Z255" s="16" t="s">
        <v>95</v>
      </c>
      <c r="AA255" s="16" t="s">
        <v>91</v>
      </c>
      <c r="AB255" s="16" t="s">
        <v>92</v>
      </c>
      <c r="AC255" s="16" t="s">
        <v>93</v>
      </c>
      <c r="AD255" s="17">
        <f>AD26+AD38+AD74+AD86+AD98+AD122+AD183+AD194+AD206</f>
        <v>3965175.78</v>
      </c>
      <c r="AG255" s="11">
        <f>AG26+AG38+AG74+AG86+AG98+AG122+AG183+AG194+AG206</f>
        <v>3713163.8</v>
      </c>
      <c r="AH255" s="11">
        <f>AD255-AG255</f>
        <v>252011.97999999998</v>
      </c>
      <c r="AI255" s="2">
        <v>252011.98</v>
      </c>
    </row>
    <row r="256" spans="1:35" ht="18" customHeight="1">
      <c r="A256" s="234"/>
      <c r="B256" s="214"/>
      <c r="C256" s="72"/>
      <c r="D256" s="72"/>
      <c r="E256" s="214"/>
      <c r="F256" s="12"/>
      <c r="G256" s="8" t="s">
        <v>61</v>
      </c>
      <c r="H256" s="13">
        <f t="shared" si="69"/>
        <v>87221.5</v>
      </c>
      <c r="I256" s="13">
        <f aca="true" t="shared" si="74" ref="I256:Q256">I28+I40+I52+I64+I76+I88+I100+I112+I136+I148+I160+I172+I184+I196+I208+I124+I220+I232+I244</f>
        <v>55698.50793</v>
      </c>
      <c r="J256" s="13">
        <f t="shared" si="74"/>
        <v>87221.5</v>
      </c>
      <c r="K256" s="13">
        <f t="shared" si="74"/>
        <v>55698.481999999996</v>
      </c>
      <c r="L256" s="13">
        <f t="shared" si="74"/>
        <v>0</v>
      </c>
      <c r="M256" s="13">
        <f t="shared" si="74"/>
        <v>0</v>
      </c>
      <c r="N256" s="13">
        <f t="shared" si="74"/>
        <v>0</v>
      </c>
      <c r="O256" s="13">
        <f t="shared" si="74"/>
        <v>0</v>
      </c>
      <c r="P256" s="13">
        <f t="shared" si="74"/>
        <v>0</v>
      </c>
      <c r="Q256" s="13">
        <f t="shared" si="74"/>
        <v>0</v>
      </c>
      <c r="R256" s="159"/>
      <c r="S256" s="160"/>
      <c r="T256" s="16"/>
      <c r="U256" s="16" t="s">
        <v>85</v>
      </c>
      <c r="V256" s="16" t="s">
        <v>86</v>
      </c>
      <c r="W256" s="16" t="s">
        <v>97</v>
      </c>
      <c r="X256" s="16" t="s">
        <v>88</v>
      </c>
      <c r="Y256" s="16" t="s">
        <v>89</v>
      </c>
      <c r="Z256" s="16" t="s">
        <v>95</v>
      </c>
      <c r="AA256" s="16" t="s">
        <v>91</v>
      </c>
      <c r="AB256" s="16" t="s">
        <v>92</v>
      </c>
      <c r="AC256" s="16" t="s">
        <v>93</v>
      </c>
      <c r="AD256" s="17">
        <f>AD27+AD39+AD75+AD87+AD99+AD123+AD184+AD195+AD207</f>
        <v>5184156</v>
      </c>
      <c r="AG256" s="11">
        <f>AG27+AG39+AG75+AG87+AG99+AG123+AG184+AG195+AG207</f>
        <v>4242838</v>
      </c>
      <c r="AH256" s="11">
        <f>AD256-AG256</f>
        <v>941318</v>
      </c>
      <c r="AI256" s="2">
        <v>941318</v>
      </c>
    </row>
    <row r="257" spans="1:34" ht="18" customHeight="1">
      <c r="A257" s="234"/>
      <c r="B257" s="214"/>
      <c r="C257" s="72"/>
      <c r="D257" s="72"/>
      <c r="E257" s="214"/>
      <c r="F257" s="37"/>
      <c r="G257" s="8" t="s">
        <v>110</v>
      </c>
      <c r="H257" s="13">
        <f t="shared" si="69"/>
        <v>67436.56</v>
      </c>
      <c r="I257" s="13">
        <f aca="true" t="shared" si="75" ref="I257:Q257">I29+I41+I53+I65+I77+I89+I101+I113+I137+I149+I161+I173+I185+I197+I209+I125+I221+I233+I245</f>
        <v>67424.42</v>
      </c>
      <c r="J257" s="13">
        <f>J29+J41+J53+J65+J77+J89+J101+J113+J125+J137+J149+J161+J173+J185+J197+J209+J221+J233+J245</f>
        <v>67436.56</v>
      </c>
      <c r="K257" s="13">
        <f>K245+K233+K221+K173+K161+K137+K65+K53</f>
        <v>67424.42</v>
      </c>
      <c r="L257" s="13">
        <f t="shared" si="75"/>
        <v>0</v>
      </c>
      <c r="M257" s="13">
        <f t="shared" si="75"/>
        <v>0</v>
      </c>
      <c r="N257" s="13">
        <f t="shared" si="75"/>
        <v>0</v>
      </c>
      <c r="O257" s="13">
        <f t="shared" si="75"/>
        <v>0</v>
      </c>
      <c r="P257" s="13">
        <f t="shared" si="75"/>
        <v>0</v>
      </c>
      <c r="Q257" s="13">
        <f t="shared" si="75"/>
        <v>0</v>
      </c>
      <c r="R257" s="159"/>
      <c r="S257" s="160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9"/>
      <c r="AG257" s="11"/>
      <c r="AH257" s="11"/>
    </row>
    <row r="258" spans="1:34" ht="18" customHeight="1">
      <c r="A258" s="234"/>
      <c r="B258" s="214"/>
      <c r="C258" s="72"/>
      <c r="D258" s="72"/>
      <c r="E258" s="214"/>
      <c r="F258" s="37"/>
      <c r="G258" s="8" t="s">
        <v>111</v>
      </c>
      <c r="H258" s="13">
        <f t="shared" si="69"/>
        <v>72390.8</v>
      </c>
      <c r="I258" s="13">
        <f aca="true" t="shared" si="76" ref="I258:Q258">I30+I42+I54+I66+I78+I90+I102+I114+I138+I150+I162+I174+I186+I198+I210+I126+I222+I234+I246</f>
        <v>60821.5</v>
      </c>
      <c r="J258" s="13">
        <f t="shared" si="76"/>
        <v>72390.8</v>
      </c>
      <c r="K258" s="13">
        <f>K234+K222+K174+K162+K138+K66+K54</f>
        <v>60821.5</v>
      </c>
      <c r="L258" s="13">
        <f t="shared" si="76"/>
        <v>0</v>
      </c>
      <c r="M258" s="13">
        <f t="shared" si="76"/>
        <v>0</v>
      </c>
      <c r="N258" s="13">
        <f t="shared" si="76"/>
        <v>0</v>
      </c>
      <c r="O258" s="13">
        <f t="shared" si="76"/>
        <v>0</v>
      </c>
      <c r="P258" s="13">
        <f t="shared" si="76"/>
        <v>0</v>
      </c>
      <c r="Q258" s="13">
        <f t="shared" si="76"/>
        <v>0</v>
      </c>
      <c r="R258" s="159"/>
      <c r="S258" s="160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9"/>
      <c r="AG258" s="11"/>
      <c r="AH258" s="11"/>
    </row>
    <row r="259" spans="1:34" ht="18" customHeight="1">
      <c r="A259" s="234"/>
      <c r="B259" s="214"/>
      <c r="C259" s="72"/>
      <c r="D259" s="72"/>
      <c r="E259" s="214"/>
      <c r="F259" s="37"/>
      <c r="G259" s="8" t="s">
        <v>112</v>
      </c>
      <c r="H259" s="13">
        <f t="shared" si="69"/>
        <v>71522.1</v>
      </c>
      <c r="I259" s="13">
        <f aca="true" t="shared" si="77" ref="I259:Q259">I31+I43+I55+I67+I79+I91+I103+I115+I139+I151+I163+I175+I187+I199+I211+I127+I223+I235+I247</f>
        <v>60821.5</v>
      </c>
      <c r="J259" s="13">
        <f t="shared" si="77"/>
        <v>71522.1</v>
      </c>
      <c r="K259" s="13">
        <f>K235+K223+K175+K163+K139+K67+K55</f>
        <v>60821.5</v>
      </c>
      <c r="L259" s="13">
        <f t="shared" si="77"/>
        <v>0</v>
      </c>
      <c r="M259" s="13">
        <f t="shared" si="77"/>
        <v>0</v>
      </c>
      <c r="N259" s="13">
        <f t="shared" si="77"/>
        <v>0</v>
      </c>
      <c r="O259" s="13">
        <f t="shared" si="77"/>
        <v>0</v>
      </c>
      <c r="P259" s="13">
        <f t="shared" si="77"/>
        <v>0</v>
      </c>
      <c r="Q259" s="13">
        <f t="shared" si="77"/>
        <v>0</v>
      </c>
      <c r="R259" s="159"/>
      <c r="S259" s="160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9"/>
      <c r="AG259" s="11"/>
      <c r="AH259" s="11"/>
    </row>
    <row r="260" spans="1:34" ht="18" customHeight="1">
      <c r="A260" s="234"/>
      <c r="B260" s="214"/>
      <c r="C260" s="72"/>
      <c r="D260" s="72"/>
      <c r="E260" s="214"/>
      <c r="F260" s="37"/>
      <c r="G260" s="8" t="s">
        <v>113</v>
      </c>
      <c r="H260" s="13">
        <f t="shared" si="69"/>
        <v>71522.1</v>
      </c>
      <c r="I260" s="13">
        <f aca="true" t="shared" si="78" ref="I260:Q260">I32+I44+I56+I68+I80+I92+I104+I116+I140+I152+I164+I176+I188+I200+I212+I128+I224+I236+I248</f>
        <v>0</v>
      </c>
      <c r="J260" s="13">
        <f t="shared" si="78"/>
        <v>71522.1</v>
      </c>
      <c r="K260" s="13">
        <f t="shared" si="78"/>
        <v>0</v>
      </c>
      <c r="L260" s="13">
        <f t="shared" si="78"/>
        <v>0</v>
      </c>
      <c r="M260" s="13">
        <f t="shared" si="78"/>
        <v>0</v>
      </c>
      <c r="N260" s="13">
        <f t="shared" si="78"/>
        <v>0</v>
      </c>
      <c r="O260" s="13">
        <f t="shared" si="78"/>
        <v>0</v>
      </c>
      <c r="P260" s="13">
        <f t="shared" si="78"/>
        <v>0</v>
      </c>
      <c r="Q260" s="13">
        <f t="shared" si="78"/>
        <v>0</v>
      </c>
      <c r="R260" s="159"/>
      <c r="S260" s="160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9"/>
      <c r="AG260" s="11"/>
      <c r="AH260" s="11"/>
    </row>
    <row r="261" spans="1:34" ht="18" customHeight="1">
      <c r="A261" s="234"/>
      <c r="B261" s="214"/>
      <c r="C261" s="72"/>
      <c r="D261" s="72"/>
      <c r="E261" s="214"/>
      <c r="F261" s="37"/>
      <c r="G261" s="8" t="s">
        <v>72</v>
      </c>
      <c r="H261" s="13">
        <f t="shared" si="69"/>
        <v>82052.9</v>
      </c>
      <c r="I261" s="13">
        <f aca="true" t="shared" si="79" ref="I261:Q261">I33+I45+I57+I69+I81+I93+I105+I117+I141+I153+I165+I177+I189+I201+I213+I129+I225+I237+I249</f>
        <v>0</v>
      </c>
      <c r="J261" s="13">
        <f t="shared" si="79"/>
        <v>82052.9</v>
      </c>
      <c r="K261" s="13">
        <f t="shared" si="79"/>
        <v>0</v>
      </c>
      <c r="L261" s="13">
        <f t="shared" si="79"/>
        <v>0</v>
      </c>
      <c r="M261" s="13">
        <f t="shared" si="79"/>
        <v>0</v>
      </c>
      <c r="N261" s="13">
        <f t="shared" si="79"/>
        <v>0</v>
      </c>
      <c r="O261" s="13">
        <f t="shared" si="79"/>
        <v>0</v>
      </c>
      <c r="P261" s="13">
        <f t="shared" si="79"/>
        <v>0</v>
      </c>
      <c r="Q261" s="13">
        <f t="shared" si="79"/>
        <v>0</v>
      </c>
      <c r="R261" s="161"/>
      <c r="S261" s="162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9"/>
      <c r="AG261" s="11"/>
      <c r="AH261" s="11"/>
    </row>
    <row r="262" spans="1:20" ht="13.5">
      <c r="A262" s="154" t="s">
        <v>39</v>
      </c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6"/>
      <c r="T262" s="11"/>
    </row>
    <row r="263" spans="1:30" ht="18" customHeight="1">
      <c r="A263" s="163">
        <v>20</v>
      </c>
      <c r="B263" s="166" t="s">
        <v>21</v>
      </c>
      <c r="C263" s="95"/>
      <c r="D263" s="95"/>
      <c r="E263" s="144" t="s">
        <v>50</v>
      </c>
      <c r="F263" s="8"/>
      <c r="G263" s="9" t="s">
        <v>9</v>
      </c>
      <c r="H263" s="10">
        <f aca="true" t="shared" si="80" ref="H263:Q263">SUM(H264:H274)</f>
        <v>407570.81999999995</v>
      </c>
      <c r="I263" s="10">
        <f t="shared" si="80"/>
        <v>149494.21399999998</v>
      </c>
      <c r="J263" s="10">
        <f t="shared" si="80"/>
        <v>407570.81999999995</v>
      </c>
      <c r="K263" s="10">
        <f t="shared" si="80"/>
        <v>149494.21399999998</v>
      </c>
      <c r="L263" s="10">
        <f t="shared" si="80"/>
        <v>0</v>
      </c>
      <c r="M263" s="10">
        <f t="shared" si="80"/>
        <v>0</v>
      </c>
      <c r="N263" s="10">
        <f t="shared" si="80"/>
        <v>0</v>
      </c>
      <c r="O263" s="10">
        <f t="shared" si="80"/>
        <v>0</v>
      </c>
      <c r="P263" s="10">
        <f t="shared" si="80"/>
        <v>0</v>
      </c>
      <c r="Q263" s="10">
        <f t="shared" si="80"/>
        <v>0</v>
      </c>
      <c r="R263" s="208" t="s">
        <v>62</v>
      </c>
      <c r="S263" s="209"/>
      <c r="T263" s="11"/>
      <c r="V263" s="215"/>
      <c r="W263" s="215"/>
      <c r="X263" s="215"/>
      <c r="Y263" s="215"/>
      <c r="Z263" s="215"/>
      <c r="AA263" s="215"/>
      <c r="AB263" s="215"/>
      <c r="AC263" s="215"/>
      <c r="AD263" s="215"/>
    </row>
    <row r="264" spans="1:20" ht="18" customHeight="1">
      <c r="A264" s="164"/>
      <c r="B264" s="167"/>
      <c r="C264" s="96"/>
      <c r="D264" s="96"/>
      <c r="E264" s="145"/>
      <c r="F264" s="8" t="s">
        <v>18</v>
      </c>
      <c r="G264" s="12" t="s">
        <v>13</v>
      </c>
      <c r="H264" s="13">
        <f aca="true" t="shared" si="81" ref="H264:I274">J264+L264+N264+P264</f>
        <v>25303.9</v>
      </c>
      <c r="I264" s="13">
        <f t="shared" si="81"/>
        <v>19340</v>
      </c>
      <c r="J264" s="13">
        <v>25303.9</v>
      </c>
      <c r="K264" s="13">
        <v>19340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210"/>
      <c r="S264" s="211"/>
      <c r="T264" s="11"/>
    </row>
    <row r="265" spans="1:36" ht="27.75" customHeight="1">
      <c r="A265" s="164"/>
      <c r="B265" s="167"/>
      <c r="C265" s="96"/>
      <c r="D265" s="96"/>
      <c r="E265" s="145"/>
      <c r="F265" s="8"/>
      <c r="G265" s="12" t="s">
        <v>11</v>
      </c>
      <c r="H265" s="13">
        <f t="shared" si="81"/>
        <v>27977.3</v>
      </c>
      <c r="I265" s="13">
        <f t="shared" si="81"/>
        <v>19168.1</v>
      </c>
      <c r="J265" s="13">
        <v>27977.3</v>
      </c>
      <c r="K265" s="13">
        <v>19168.1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210"/>
      <c r="S265" s="211"/>
      <c r="T265" s="14"/>
      <c r="U265" s="14" t="s">
        <v>73</v>
      </c>
      <c r="V265" s="14" t="s">
        <v>74</v>
      </c>
      <c r="W265" s="14" t="s">
        <v>75</v>
      </c>
      <c r="X265" s="14" t="s">
        <v>76</v>
      </c>
      <c r="Y265" s="14" t="s">
        <v>77</v>
      </c>
      <c r="Z265" s="14" t="s">
        <v>78</v>
      </c>
      <c r="AA265" s="14" t="s">
        <v>79</v>
      </c>
      <c r="AB265" s="14" t="s">
        <v>80</v>
      </c>
      <c r="AC265" s="14" t="s">
        <v>81</v>
      </c>
      <c r="AD265" s="14" t="s">
        <v>82</v>
      </c>
      <c r="AE265" s="14"/>
      <c r="AF265" s="14"/>
      <c r="AG265" s="14" t="s">
        <v>105</v>
      </c>
      <c r="AH265" s="14" t="s">
        <v>106</v>
      </c>
      <c r="AI265" s="14" t="s">
        <v>107</v>
      </c>
      <c r="AJ265" s="38" t="s">
        <v>108</v>
      </c>
    </row>
    <row r="266" spans="1:35" ht="18" customHeight="1">
      <c r="A266" s="164"/>
      <c r="B266" s="167"/>
      <c r="C266" s="96"/>
      <c r="D266" s="96"/>
      <c r="E266" s="145"/>
      <c r="F266" s="8"/>
      <c r="G266" s="12" t="s">
        <v>12</v>
      </c>
      <c r="H266" s="13">
        <f t="shared" si="81"/>
        <v>30933.1</v>
      </c>
      <c r="I266" s="13">
        <f>K266+M266+O266+Q266</f>
        <v>17477.3</v>
      </c>
      <c r="J266" s="13">
        <v>30933.1</v>
      </c>
      <c r="K266" s="13">
        <f>17478.8-1.5</f>
        <v>17477.3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210"/>
      <c r="S266" s="211"/>
      <c r="T266" s="16"/>
      <c r="U266" s="16" t="s">
        <v>85</v>
      </c>
      <c r="V266" s="16" t="s">
        <v>86</v>
      </c>
      <c r="W266" s="16" t="s">
        <v>87</v>
      </c>
      <c r="X266" s="16" t="s">
        <v>88</v>
      </c>
      <c r="Y266" s="16" t="s">
        <v>89</v>
      </c>
      <c r="Z266" s="16" t="s">
        <v>90</v>
      </c>
      <c r="AA266" s="16" t="s">
        <v>91</v>
      </c>
      <c r="AB266" s="16" t="s">
        <v>92</v>
      </c>
      <c r="AC266" s="16" t="s">
        <v>93</v>
      </c>
      <c r="AD266" s="17">
        <f>AD24+AD36+AD72+AD84+AD96+AD120+AD181+AD192+AD204</f>
        <v>263250</v>
      </c>
      <c r="AE266" s="17"/>
      <c r="AF266" s="17"/>
      <c r="AG266" s="18">
        <f>AG24+AG36+AG72+AG84+AG96+AG120+AG181+AG192+AG204</f>
        <v>263250</v>
      </c>
      <c r="AH266" s="18">
        <f>AD266-AG266</f>
        <v>0</v>
      </c>
      <c r="AI266" s="18"/>
    </row>
    <row r="267" spans="1:44" ht="18" customHeight="1">
      <c r="A267" s="164"/>
      <c r="B267" s="167"/>
      <c r="C267" s="96"/>
      <c r="D267" s="96"/>
      <c r="E267" s="145"/>
      <c r="F267" s="8"/>
      <c r="G267" s="12" t="s">
        <v>14</v>
      </c>
      <c r="H267" s="13">
        <f t="shared" si="81"/>
        <v>34136.2</v>
      </c>
      <c r="I267" s="13">
        <f t="shared" si="81"/>
        <v>20131.2</v>
      </c>
      <c r="J267" s="13">
        <v>34136.2</v>
      </c>
      <c r="K267" s="13">
        <v>20131.2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210"/>
      <c r="S267" s="211"/>
      <c r="T267" s="16"/>
      <c r="U267" s="16" t="s">
        <v>85</v>
      </c>
      <c r="V267" s="16" t="s">
        <v>86</v>
      </c>
      <c r="W267" s="16" t="s">
        <v>94</v>
      </c>
      <c r="X267" s="16" t="s">
        <v>88</v>
      </c>
      <c r="Y267" s="16" t="s">
        <v>89</v>
      </c>
      <c r="Z267" s="16" t="s">
        <v>95</v>
      </c>
      <c r="AA267" s="16" t="s">
        <v>91</v>
      </c>
      <c r="AB267" s="16" t="s">
        <v>92</v>
      </c>
      <c r="AC267" s="16" t="s">
        <v>93</v>
      </c>
      <c r="AD267" s="17">
        <f>AD25+AD37+AD73+AD85+AD97+AD121+AD182+AD193+AD205</f>
        <v>9007520.59</v>
      </c>
      <c r="AE267" s="17"/>
      <c r="AF267" s="17"/>
      <c r="AG267" s="18">
        <f>AG25+AG37+AG73+AG85+AG97+AG121+AG182+AG193+AG205</f>
        <v>8350728.1</v>
      </c>
      <c r="AH267" s="18">
        <f>AD267-AG267</f>
        <v>656792.4900000002</v>
      </c>
      <c r="AI267" s="18">
        <v>656792.49</v>
      </c>
      <c r="AJ267" s="11">
        <f>AH267-656792.49</f>
        <v>0</v>
      </c>
      <c r="AM267" s="39"/>
      <c r="AN267" s="39"/>
      <c r="AO267" s="39"/>
      <c r="AP267" s="39"/>
      <c r="AQ267" s="39"/>
      <c r="AR267" s="39"/>
    </row>
    <row r="268" spans="1:45" ht="18" customHeight="1">
      <c r="A268" s="164"/>
      <c r="B268" s="167"/>
      <c r="C268" s="96"/>
      <c r="D268" s="96"/>
      <c r="E268" s="145"/>
      <c r="F268" s="8"/>
      <c r="G268" s="12" t="s">
        <v>15</v>
      </c>
      <c r="H268" s="13">
        <f t="shared" si="81"/>
        <v>37599.3</v>
      </c>
      <c r="I268" s="13">
        <f t="shared" si="81"/>
        <v>15515.4</v>
      </c>
      <c r="J268" s="13">
        <v>37599.3</v>
      </c>
      <c r="K268" s="13">
        <v>15515.4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210"/>
      <c r="S268" s="211"/>
      <c r="T268" s="16"/>
      <c r="U268" s="16" t="s">
        <v>85</v>
      </c>
      <c r="V268" s="16" t="s">
        <v>86</v>
      </c>
      <c r="W268" s="16" t="s">
        <v>94</v>
      </c>
      <c r="X268" s="16" t="s">
        <v>88</v>
      </c>
      <c r="Y268" s="16" t="s">
        <v>96</v>
      </c>
      <c r="Z268" s="16" t="s">
        <v>95</v>
      </c>
      <c r="AA268" s="16" t="s">
        <v>91</v>
      </c>
      <c r="AB268" s="16" t="s">
        <v>92</v>
      </c>
      <c r="AC268" s="16" t="s">
        <v>93</v>
      </c>
      <c r="AD268" s="17">
        <f>AD26+AD38+AD74+AD86+AD98+AD122+AD183+AD194+AD206</f>
        <v>3965175.78</v>
      </c>
      <c r="AE268" s="17"/>
      <c r="AF268" s="17"/>
      <c r="AG268" s="18">
        <f>AG26+AG38+AG74+AG86+AG98+AG122+AG183+AG194+AG206</f>
        <v>3713163.8</v>
      </c>
      <c r="AH268" s="18">
        <f>AD268-AG268</f>
        <v>252011.97999999998</v>
      </c>
      <c r="AI268" s="18">
        <v>252011.98</v>
      </c>
      <c r="AJ268" s="11">
        <f>AH268-252011.98</f>
        <v>0</v>
      </c>
      <c r="AM268" s="39"/>
      <c r="AN268" s="39"/>
      <c r="AO268" s="39"/>
      <c r="AP268" s="39"/>
      <c r="AQ268" s="39"/>
      <c r="AR268" s="39"/>
      <c r="AS268" s="39"/>
    </row>
    <row r="269" spans="1:49" ht="18" customHeight="1">
      <c r="A269" s="164"/>
      <c r="B269" s="167"/>
      <c r="C269" s="96"/>
      <c r="D269" s="96"/>
      <c r="E269" s="145"/>
      <c r="F269" s="8"/>
      <c r="G269" s="12" t="s">
        <v>61</v>
      </c>
      <c r="H269" s="13">
        <f t="shared" si="81"/>
        <v>47397.3</v>
      </c>
      <c r="I269" s="13">
        <f>K269</f>
        <v>15717.514</v>
      </c>
      <c r="J269" s="13">
        <v>47397.3</v>
      </c>
      <c r="K269" s="13">
        <v>15717.514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210"/>
      <c r="S269" s="211"/>
      <c r="T269" s="16"/>
      <c r="U269" s="16" t="s">
        <v>85</v>
      </c>
      <c r="V269" s="16" t="s">
        <v>86</v>
      </c>
      <c r="W269" s="16" t="s">
        <v>97</v>
      </c>
      <c r="X269" s="16" t="s">
        <v>88</v>
      </c>
      <c r="Y269" s="16" t="s">
        <v>89</v>
      </c>
      <c r="Z269" s="16" t="s">
        <v>95</v>
      </c>
      <c r="AA269" s="16" t="s">
        <v>91</v>
      </c>
      <c r="AB269" s="16" t="s">
        <v>92</v>
      </c>
      <c r="AC269" s="16" t="s">
        <v>93</v>
      </c>
      <c r="AD269" s="17">
        <f>AD27+AD39+AD75+AD87+AD99+AD123+AD184+AD195+AD207</f>
        <v>5184156</v>
      </c>
      <c r="AE269" s="17"/>
      <c r="AF269" s="17"/>
      <c r="AG269" s="18">
        <f>AG27+AG39+AG75+AG87+AG99+AG123+AG184+AG195+AG207</f>
        <v>4242838</v>
      </c>
      <c r="AH269" s="18">
        <f>AD269-AG269</f>
        <v>941318</v>
      </c>
      <c r="AI269" s="18"/>
      <c r="AJ269" s="11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</row>
    <row r="270" spans="1:49" ht="18" customHeight="1">
      <c r="A270" s="164"/>
      <c r="B270" s="167"/>
      <c r="C270" s="96" t="s">
        <v>163</v>
      </c>
      <c r="D270" s="96" t="s">
        <v>164</v>
      </c>
      <c r="E270" s="145"/>
      <c r="F270" s="8"/>
      <c r="G270" s="98" t="s">
        <v>110</v>
      </c>
      <c r="H270" s="99">
        <f t="shared" si="81"/>
        <v>8553.24</v>
      </c>
      <c r="I270" s="99">
        <f>K270</f>
        <v>8544.7</v>
      </c>
      <c r="J270" s="99">
        <v>8553.24</v>
      </c>
      <c r="K270" s="99">
        <v>8544.7</v>
      </c>
      <c r="L270" s="99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210"/>
      <c r="S270" s="211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9"/>
      <c r="AE270" s="29"/>
      <c r="AF270" s="29"/>
      <c r="AG270" s="18"/>
      <c r="AH270" s="18"/>
      <c r="AI270" s="18"/>
      <c r="AJ270" s="11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</row>
    <row r="271" spans="1:49" ht="18" customHeight="1">
      <c r="A271" s="164"/>
      <c r="B271" s="167"/>
      <c r="C271" s="96"/>
      <c r="D271" s="96"/>
      <c r="E271" s="145"/>
      <c r="F271" s="8"/>
      <c r="G271" s="98" t="s">
        <v>111</v>
      </c>
      <c r="H271" s="99">
        <f>J271+L271+N271+P271</f>
        <v>48917.619999999995</v>
      </c>
      <c r="I271" s="99">
        <v>16800</v>
      </c>
      <c r="J271" s="99">
        <f>47397.7+1519.92</f>
        <v>48917.619999999995</v>
      </c>
      <c r="K271" s="99">
        <v>16800</v>
      </c>
      <c r="L271" s="99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210"/>
      <c r="S271" s="211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9"/>
      <c r="AE271" s="29"/>
      <c r="AF271" s="29"/>
      <c r="AG271" s="18"/>
      <c r="AH271" s="18"/>
      <c r="AI271" s="18"/>
      <c r="AJ271" s="11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</row>
    <row r="272" spans="1:49" ht="18" customHeight="1">
      <c r="A272" s="164"/>
      <c r="B272" s="167"/>
      <c r="C272" s="96"/>
      <c r="D272" s="96"/>
      <c r="E272" s="145"/>
      <c r="F272" s="8"/>
      <c r="G272" s="98" t="s">
        <v>112</v>
      </c>
      <c r="H272" s="99">
        <f>J272+L272+N272+P272</f>
        <v>48917.619999999995</v>
      </c>
      <c r="I272" s="99">
        <v>16800</v>
      </c>
      <c r="J272" s="99">
        <f>47397.7+1519.92</f>
        <v>48917.619999999995</v>
      </c>
      <c r="K272" s="99">
        <v>16800</v>
      </c>
      <c r="L272" s="99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210"/>
      <c r="S272" s="211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9"/>
      <c r="AE272" s="29"/>
      <c r="AF272" s="29"/>
      <c r="AG272" s="18"/>
      <c r="AH272" s="18"/>
      <c r="AI272" s="18"/>
      <c r="AJ272" s="11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ht="18" customHeight="1">
      <c r="A273" s="164"/>
      <c r="B273" s="167"/>
      <c r="C273" s="96"/>
      <c r="D273" s="96"/>
      <c r="E273" s="145"/>
      <c r="F273" s="8"/>
      <c r="G273" s="98" t="s">
        <v>113</v>
      </c>
      <c r="H273" s="99">
        <f t="shared" si="81"/>
        <v>48917.619999999995</v>
      </c>
      <c r="I273" s="99">
        <f>K273+M273+O273+Q273</f>
        <v>0</v>
      </c>
      <c r="J273" s="99">
        <f>47397.7+1519.92</f>
        <v>48917.619999999995</v>
      </c>
      <c r="K273" s="99">
        <v>0</v>
      </c>
      <c r="L273" s="99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210"/>
      <c r="S273" s="211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9"/>
      <c r="AE273" s="29"/>
      <c r="AF273" s="29"/>
      <c r="AG273" s="18"/>
      <c r="AH273" s="18"/>
      <c r="AI273" s="18"/>
      <c r="AJ273" s="11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</row>
    <row r="274" spans="1:49" ht="18" customHeight="1">
      <c r="A274" s="165"/>
      <c r="B274" s="168"/>
      <c r="C274" s="97"/>
      <c r="D274" s="97"/>
      <c r="E274" s="146"/>
      <c r="F274" s="8"/>
      <c r="G274" s="12" t="s">
        <v>72</v>
      </c>
      <c r="H274" s="13">
        <f t="shared" si="81"/>
        <v>48917.619999999995</v>
      </c>
      <c r="I274" s="13">
        <f>K274+M274+O274+Q274</f>
        <v>0</v>
      </c>
      <c r="J274" s="13">
        <f>47397.7+1519.92</f>
        <v>48917.619999999995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212"/>
      <c r="S274" s="21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9"/>
      <c r="AE274" s="29"/>
      <c r="AF274" s="29"/>
      <c r="AG274" s="18"/>
      <c r="AH274" s="18"/>
      <c r="AI274" s="18"/>
      <c r="AJ274" s="11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</row>
    <row r="275" spans="1:36" ht="18" customHeight="1">
      <c r="A275" s="163">
        <v>21</v>
      </c>
      <c r="B275" s="166" t="s">
        <v>22</v>
      </c>
      <c r="C275" s="95"/>
      <c r="D275" s="95"/>
      <c r="E275" s="144"/>
      <c r="F275" s="8"/>
      <c r="G275" s="9" t="s">
        <v>9</v>
      </c>
      <c r="H275" s="10">
        <f aca="true" t="shared" si="82" ref="H275:Q275">SUM(H276:H286)</f>
        <v>3446.2</v>
      </c>
      <c r="I275" s="10">
        <f t="shared" si="82"/>
        <v>0</v>
      </c>
      <c r="J275" s="10">
        <f t="shared" si="82"/>
        <v>3446.2</v>
      </c>
      <c r="K275" s="10">
        <f t="shared" si="82"/>
        <v>0</v>
      </c>
      <c r="L275" s="10">
        <f t="shared" si="82"/>
        <v>0</v>
      </c>
      <c r="M275" s="10">
        <f t="shared" si="82"/>
        <v>0</v>
      </c>
      <c r="N275" s="10">
        <f t="shared" si="82"/>
        <v>0</v>
      </c>
      <c r="O275" s="10">
        <f t="shared" si="82"/>
        <v>0</v>
      </c>
      <c r="P275" s="10">
        <f t="shared" si="82"/>
        <v>0</v>
      </c>
      <c r="Q275" s="10">
        <f t="shared" si="82"/>
        <v>0</v>
      </c>
      <c r="R275" s="208" t="s">
        <v>62</v>
      </c>
      <c r="S275" s="209"/>
      <c r="T275" s="11"/>
      <c r="AD275" s="11"/>
      <c r="AE275" s="11"/>
      <c r="AF275" s="11"/>
      <c r="AG275" s="18"/>
      <c r="AH275" s="18"/>
      <c r="AI275" s="18"/>
      <c r="AJ275" s="11"/>
    </row>
    <row r="276" spans="1:35" ht="26.25">
      <c r="A276" s="164"/>
      <c r="B276" s="167"/>
      <c r="C276" s="96"/>
      <c r="D276" s="96"/>
      <c r="E276" s="145"/>
      <c r="F276" s="8" t="s">
        <v>18</v>
      </c>
      <c r="G276" s="12" t="s">
        <v>13</v>
      </c>
      <c r="H276" s="13">
        <f aca="true" t="shared" si="83" ref="H276:I281">J276+L276+N276+P276</f>
        <v>200</v>
      </c>
      <c r="I276" s="13">
        <f t="shared" si="83"/>
        <v>0</v>
      </c>
      <c r="J276" s="13">
        <v>200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210"/>
      <c r="S276" s="211"/>
      <c r="T276" s="14"/>
      <c r="U276" s="14"/>
      <c r="V276" s="14"/>
      <c r="W276" s="14"/>
      <c r="X276" s="14"/>
      <c r="Y276" s="14"/>
      <c r="Z276" s="14"/>
      <c r="AG276" s="18"/>
      <c r="AH276" s="18"/>
      <c r="AI276" s="18"/>
    </row>
    <row r="277" spans="1:41" ht="12.75">
      <c r="A277" s="164"/>
      <c r="B277" s="167"/>
      <c r="C277" s="96"/>
      <c r="D277" s="96"/>
      <c r="E277" s="145"/>
      <c r="F277" s="8"/>
      <c r="G277" s="12" t="s">
        <v>11</v>
      </c>
      <c r="H277" s="13">
        <f t="shared" si="83"/>
        <v>221.1</v>
      </c>
      <c r="I277" s="13">
        <f t="shared" si="83"/>
        <v>0</v>
      </c>
      <c r="J277" s="13">
        <v>221.1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210"/>
      <c r="S277" s="211"/>
      <c r="T277" s="16"/>
      <c r="U277" s="16"/>
      <c r="V277" s="16"/>
      <c r="W277" s="16"/>
      <c r="X277" s="16"/>
      <c r="Y277" s="16"/>
      <c r="Z277" s="16"/>
      <c r="AH277" s="11"/>
      <c r="AI277" s="11"/>
      <c r="AO277" s="16"/>
    </row>
    <row r="278" spans="1:41" ht="12.75">
      <c r="A278" s="164"/>
      <c r="B278" s="167"/>
      <c r="C278" s="96"/>
      <c r="D278" s="96"/>
      <c r="E278" s="145"/>
      <c r="F278" s="8"/>
      <c r="G278" s="12" t="s">
        <v>12</v>
      </c>
      <c r="H278" s="13">
        <f t="shared" si="83"/>
        <v>244.5</v>
      </c>
      <c r="I278" s="13">
        <f t="shared" si="83"/>
        <v>0</v>
      </c>
      <c r="J278" s="13">
        <v>244.5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210"/>
      <c r="S278" s="211"/>
      <c r="T278" s="16"/>
      <c r="U278" s="16"/>
      <c r="V278" s="16"/>
      <c r="W278" s="16"/>
      <c r="X278" s="16"/>
      <c r="Y278" s="16"/>
      <c r="Z278" s="16"/>
      <c r="AO278" s="16"/>
    </row>
    <row r="279" spans="1:41" ht="12.75">
      <c r="A279" s="164"/>
      <c r="B279" s="167"/>
      <c r="C279" s="96"/>
      <c r="D279" s="96"/>
      <c r="E279" s="145"/>
      <c r="F279" s="8"/>
      <c r="G279" s="12" t="s">
        <v>14</v>
      </c>
      <c r="H279" s="13">
        <f t="shared" si="83"/>
        <v>269.8</v>
      </c>
      <c r="I279" s="13">
        <f t="shared" si="83"/>
        <v>0</v>
      </c>
      <c r="J279" s="13">
        <v>269.8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210"/>
      <c r="S279" s="211"/>
      <c r="T279" s="16"/>
      <c r="U279" s="16"/>
      <c r="V279" s="16"/>
      <c r="W279" s="16"/>
      <c r="X279" s="16"/>
      <c r="Y279" s="16"/>
      <c r="Z279" s="16"/>
      <c r="AG279" s="18"/>
      <c r="AH279" s="11"/>
      <c r="AI279" s="11"/>
      <c r="AO279" s="16"/>
    </row>
    <row r="280" spans="1:30" ht="12.75">
      <c r="A280" s="164"/>
      <c r="B280" s="167"/>
      <c r="C280" s="96"/>
      <c r="D280" s="96"/>
      <c r="E280" s="145"/>
      <c r="F280" s="8"/>
      <c r="G280" s="12" t="s">
        <v>15</v>
      </c>
      <c r="H280" s="13">
        <f t="shared" si="83"/>
        <v>297.2</v>
      </c>
      <c r="I280" s="13">
        <f t="shared" si="83"/>
        <v>0</v>
      </c>
      <c r="J280" s="13">
        <v>297.2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210"/>
      <c r="S280" s="211"/>
      <c r="T280" s="16"/>
      <c r="U280" s="16"/>
      <c r="V280" s="16"/>
      <c r="W280" s="16"/>
      <c r="X280" s="16"/>
      <c r="Y280" s="16"/>
      <c r="Z280" s="16"/>
      <c r="AD280" s="11"/>
    </row>
    <row r="281" spans="1:20" ht="12.75">
      <c r="A281" s="164"/>
      <c r="B281" s="167"/>
      <c r="C281" s="96"/>
      <c r="D281" s="96"/>
      <c r="E281" s="145"/>
      <c r="F281" s="8"/>
      <c r="G281" s="12" t="s">
        <v>61</v>
      </c>
      <c r="H281" s="13">
        <f t="shared" si="83"/>
        <v>327.4</v>
      </c>
      <c r="I281" s="13">
        <v>0</v>
      </c>
      <c r="J281" s="13">
        <v>327.4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210"/>
      <c r="S281" s="211"/>
      <c r="T281" s="11"/>
    </row>
    <row r="282" spans="1:20" ht="12.75">
      <c r="A282" s="164"/>
      <c r="B282" s="167"/>
      <c r="C282" s="109" t="s">
        <v>163</v>
      </c>
      <c r="D282" s="109" t="s">
        <v>164</v>
      </c>
      <c r="E282" s="145"/>
      <c r="F282" s="8"/>
      <c r="G282" s="98" t="s">
        <v>110</v>
      </c>
      <c r="H282" s="99">
        <f>J282+L282+N282+P282</f>
        <v>0</v>
      </c>
      <c r="I282" s="99">
        <v>0</v>
      </c>
      <c r="J282" s="99">
        <v>0</v>
      </c>
      <c r="K282" s="99">
        <v>0</v>
      </c>
      <c r="L282" s="99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210"/>
      <c r="S282" s="211"/>
      <c r="T282" s="11"/>
    </row>
    <row r="283" spans="1:20" ht="12.75">
      <c r="A283" s="164"/>
      <c r="B283" s="167"/>
      <c r="C283" s="96"/>
      <c r="D283" s="96"/>
      <c r="E283" s="145"/>
      <c r="F283" s="8"/>
      <c r="G283" s="98" t="s">
        <v>111</v>
      </c>
      <c r="H283" s="99">
        <f>J283+L283+N283+P283</f>
        <v>389.7</v>
      </c>
      <c r="I283" s="99">
        <v>0</v>
      </c>
      <c r="J283" s="99">
        <v>389.7</v>
      </c>
      <c r="K283" s="99">
        <v>0</v>
      </c>
      <c r="L283" s="99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210"/>
      <c r="S283" s="211"/>
      <c r="T283" s="11"/>
    </row>
    <row r="284" spans="1:20" ht="12.75">
      <c r="A284" s="164"/>
      <c r="B284" s="167"/>
      <c r="C284" s="96"/>
      <c r="D284" s="96"/>
      <c r="E284" s="145"/>
      <c r="F284" s="8"/>
      <c r="G284" s="98" t="s">
        <v>112</v>
      </c>
      <c r="H284" s="99">
        <f>J284+L284+N284+P284</f>
        <v>389.7</v>
      </c>
      <c r="I284" s="99">
        <v>0</v>
      </c>
      <c r="J284" s="99">
        <v>389.7</v>
      </c>
      <c r="K284" s="99">
        <v>0</v>
      </c>
      <c r="L284" s="99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210"/>
      <c r="S284" s="211"/>
      <c r="T284" s="11"/>
    </row>
    <row r="285" spans="1:20" ht="12.75">
      <c r="A285" s="164"/>
      <c r="B285" s="167"/>
      <c r="C285" s="96"/>
      <c r="D285" s="96"/>
      <c r="E285" s="145"/>
      <c r="F285" s="8"/>
      <c r="G285" s="98" t="s">
        <v>113</v>
      </c>
      <c r="H285" s="99">
        <f>J285+L285+N285+P285</f>
        <v>389.7</v>
      </c>
      <c r="I285" s="99">
        <v>0</v>
      </c>
      <c r="J285" s="99">
        <v>389.7</v>
      </c>
      <c r="K285" s="99">
        <v>0</v>
      </c>
      <c r="L285" s="99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210"/>
      <c r="S285" s="211"/>
      <c r="T285" s="11"/>
    </row>
    <row r="286" spans="1:20" ht="12.75">
      <c r="A286" s="165"/>
      <c r="B286" s="168"/>
      <c r="C286" s="97"/>
      <c r="D286" s="97"/>
      <c r="E286" s="146"/>
      <c r="F286" s="8"/>
      <c r="G286" s="12" t="s">
        <v>72</v>
      </c>
      <c r="H286" s="13">
        <f>J286+L286+N286+P286</f>
        <v>717.0999999999999</v>
      </c>
      <c r="I286" s="13">
        <v>0</v>
      </c>
      <c r="J286" s="13">
        <f>389.7+327.4</f>
        <v>717.0999999999999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212"/>
      <c r="S286" s="213"/>
      <c r="T286" s="11"/>
    </row>
    <row r="287" spans="1:20" ht="12.75" customHeight="1">
      <c r="A287" s="163">
        <f>A275+1</f>
        <v>22</v>
      </c>
      <c r="B287" s="166" t="s">
        <v>25</v>
      </c>
      <c r="C287" s="95"/>
      <c r="D287" s="95"/>
      <c r="E287" s="144" t="s">
        <v>50</v>
      </c>
      <c r="F287" s="8"/>
      <c r="G287" s="9" t="s">
        <v>9</v>
      </c>
      <c r="H287" s="10">
        <f aca="true" t="shared" si="84" ref="H287:Q287">SUM(H288:H298)</f>
        <v>32347.199999999993</v>
      </c>
      <c r="I287" s="10">
        <f t="shared" si="84"/>
        <v>13303.25</v>
      </c>
      <c r="J287" s="10">
        <f t="shared" si="84"/>
        <v>32347.199999999993</v>
      </c>
      <c r="K287" s="10">
        <f t="shared" si="84"/>
        <v>13303.25</v>
      </c>
      <c r="L287" s="10">
        <f t="shared" si="84"/>
        <v>0</v>
      </c>
      <c r="M287" s="10">
        <f t="shared" si="84"/>
        <v>0</v>
      </c>
      <c r="N287" s="10">
        <f t="shared" si="84"/>
        <v>0</v>
      </c>
      <c r="O287" s="10">
        <f t="shared" si="84"/>
        <v>0</v>
      </c>
      <c r="P287" s="10">
        <f t="shared" si="84"/>
        <v>0</v>
      </c>
      <c r="Q287" s="10">
        <f t="shared" si="84"/>
        <v>0</v>
      </c>
      <c r="R287" s="208" t="s">
        <v>62</v>
      </c>
      <c r="S287" s="209"/>
      <c r="T287" s="11"/>
    </row>
    <row r="288" spans="1:30" ht="26.25">
      <c r="A288" s="164"/>
      <c r="B288" s="167"/>
      <c r="C288" s="96"/>
      <c r="D288" s="96"/>
      <c r="E288" s="145"/>
      <c r="F288" s="8" t="s">
        <v>18</v>
      </c>
      <c r="G288" s="12" t="s">
        <v>13</v>
      </c>
      <c r="H288" s="13">
        <f aca="true" t="shared" si="85" ref="H288:I293">J288+L288+N288+P288</f>
        <v>1583.2</v>
      </c>
      <c r="I288" s="13">
        <f t="shared" si="85"/>
        <v>1583.2</v>
      </c>
      <c r="J288" s="13">
        <v>1583.2</v>
      </c>
      <c r="K288" s="13">
        <v>1583.2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210"/>
      <c r="S288" s="211"/>
      <c r="T288" s="14"/>
      <c r="U288" s="14" t="s">
        <v>73</v>
      </c>
      <c r="V288" s="14" t="s">
        <v>74</v>
      </c>
      <c r="W288" s="14" t="s">
        <v>75</v>
      </c>
      <c r="X288" s="14" t="s">
        <v>77</v>
      </c>
      <c r="Y288" s="14" t="s">
        <v>78</v>
      </c>
      <c r="Z288" s="14" t="s">
        <v>79</v>
      </c>
      <c r="AD288" s="11"/>
    </row>
    <row r="289" spans="1:30" ht="12.75">
      <c r="A289" s="164"/>
      <c r="B289" s="167"/>
      <c r="C289" s="96"/>
      <c r="D289" s="96"/>
      <c r="E289" s="145"/>
      <c r="F289" s="8"/>
      <c r="G289" s="12" t="s">
        <v>11</v>
      </c>
      <c r="H289" s="13">
        <f t="shared" si="85"/>
        <v>1667.1</v>
      </c>
      <c r="I289" s="13">
        <f t="shared" si="85"/>
        <v>1583.2</v>
      </c>
      <c r="J289" s="13">
        <v>1667.1</v>
      </c>
      <c r="K289" s="13">
        <v>1583.2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210"/>
      <c r="S289" s="211"/>
      <c r="T289" s="16"/>
      <c r="U289" s="16" t="s">
        <v>85</v>
      </c>
      <c r="V289" s="16" t="s">
        <v>86</v>
      </c>
      <c r="W289" s="16" t="s">
        <v>94</v>
      </c>
      <c r="X289" s="16" t="s">
        <v>89</v>
      </c>
      <c r="Y289" s="16" t="s">
        <v>95</v>
      </c>
      <c r="Z289" s="16" t="s">
        <v>91</v>
      </c>
      <c r="AA289" s="2">
        <v>1327500</v>
      </c>
      <c r="AD289" s="11"/>
    </row>
    <row r="290" spans="1:26" ht="12.75">
      <c r="A290" s="164"/>
      <c r="B290" s="167"/>
      <c r="C290" s="96"/>
      <c r="D290" s="96"/>
      <c r="E290" s="145"/>
      <c r="F290" s="8"/>
      <c r="G290" s="12" t="s">
        <v>12</v>
      </c>
      <c r="H290" s="13">
        <f t="shared" si="85"/>
        <v>1755.4</v>
      </c>
      <c r="I290" s="13">
        <f t="shared" si="85"/>
        <v>1277.1</v>
      </c>
      <c r="J290" s="13">
        <v>1755.4</v>
      </c>
      <c r="K290" s="13">
        <v>1277.1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210"/>
      <c r="S290" s="211"/>
      <c r="T290" s="16"/>
      <c r="U290" s="16" t="s">
        <v>85</v>
      </c>
      <c r="V290" s="16" t="s">
        <v>86</v>
      </c>
      <c r="W290" s="16" t="s">
        <v>97</v>
      </c>
      <c r="X290" s="16" t="s">
        <v>100</v>
      </c>
      <c r="Y290" s="16" t="s">
        <v>95</v>
      </c>
      <c r="Z290" s="16" t="s">
        <v>91</v>
      </c>
    </row>
    <row r="291" spans="1:26" ht="12.75">
      <c r="A291" s="164"/>
      <c r="B291" s="167"/>
      <c r="C291" s="96"/>
      <c r="D291" s="96"/>
      <c r="E291" s="145"/>
      <c r="F291" s="8"/>
      <c r="G291" s="12" t="s">
        <v>14</v>
      </c>
      <c r="H291" s="13">
        <f t="shared" si="85"/>
        <v>1845</v>
      </c>
      <c r="I291" s="13">
        <f t="shared" si="85"/>
        <v>1327.5</v>
      </c>
      <c r="J291" s="13">
        <v>1845</v>
      </c>
      <c r="K291" s="13">
        <v>1327.5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210"/>
      <c r="S291" s="211"/>
      <c r="T291" s="16"/>
      <c r="U291" s="16" t="s">
        <v>85</v>
      </c>
      <c r="V291" s="16" t="s">
        <v>86</v>
      </c>
      <c r="W291" s="16" t="s">
        <v>97</v>
      </c>
      <c r="X291" s="16" t="s">
        <v>101</v>
      </c>
      <c r="Y291" s="16" t="s">
        <v>95</v>
      </c>
      <c r="Z291" s="16" t="s">
        <v>91</v>
      </c>
    </row>
    <row r="292" spans="1:26" ht="12.75">
      <c r="A292" s="164"/>
      <c r="B292" s="167"/>
      <c r="C292" s="96" t="s">
        <v>166</v>
      </c>
      <c r="D292" s="96" t="s">
        <v>167</v>
      </c>
      <c r="E292" s="145"/>
      <c r="F292" s="8"/>
      <c r="G292" s="12" t="s">
        <v>15</v>
      </c>
      <c r="H292" s="13">
        <f t="shared" si="85"/>
        <v>3358.5</v>
      </c>
      <c r="I292" s="13">
        <f t="shared" si="85"/>
        <v>3616.4</v>
      </c>
      <c r="J292" s="13">
        <v>3358.5</v>
      </c>
      <c r="K292" s="13">
        <v>3616.4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210"/>
      <c r="S292" s="211"/>
      <c r="T292" s="16"/>
      <c r="U292" s="16" t="s">
        <v>85</v>
      </c>
      <c r="V292" s="16" t="s">
        <v>102</v>
      </c>
      <c r="W292" s="16" t="s">
        <v>103</v>
      </c>
      <c r="X292" s="16" t="s">
        <v>104</v>
      </c>
      <c r="Y292" s="16" t="s">
        <v>95</v>
      </c>
      <c r="Z292" s="16" t="s">
        <v>91</v>
      </c>
    </row>
    <row r="293" spans="1:20" ht="12.75">
      <c r="A293" s="164"/>
      <c r="B293" s="167"/>
      <c r="C293" s="96"/>
      <c r="D293" s="96"/>
      <c r="E293" s="145"/>
      <c r="F293" s="8"/>
      <c r="G293" s="12" t="s">
        <v>61</v>
      </c>
      <c r="H293" s="13">
        <f t="shared" si="85"/>
        <v>7045.3</v>
      </c>
      <c r="I293" s="13">
        <f t="shared" si="85"/>
        <v>606.85</v>
      </c>
      <c r="J293" s="13">
        <v>7045.3</v>
      </c>
      <c r="K293" s="13">
        <v>606.85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210"/>
      <c r="S293" s="211"/>
      <c r="T293" s="11"/>
    </row>
    <row r="294" spans="1:20" ht="12.75">
      <c r="A294" s="164"/>
      <c r="B294" s="167"/>
      <c r="C294" s="96"/>
      <c r="D294" s="96"/>
      <c r="E294" s="145"/>
      <c r="F294" s="8"/>
      <c r="G294" s="98" t="s">
        <v>110</v>
      </c>
      <c r="H294" s="99">
        <f aca="true" t="shared" si="86" ref="H294:I298">J294+L294+N294+P294</f>
        <v>1310.3</v>
      </c>
      <c r="I294" s="99">
        <f>K294</f>
        <v>1309</v>
      </c>
      <c r="J294" s="99">
        <v>1310.3</v>
      </c>
      <c r="K294" s="99">
        <v>1309</v>
      </c>
      <c r="L294" s="99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210"/>
      <c r="S294" s="211"/>
      <c r="T294" s="11"/>
    </row>
    <row r="295" spans="1:20" ht="12.75">
      <c r="A295" s="164"/>
      <c r="B295" s="167"/>
      <c r="C295" s="96"/>
      <c r="D295" s="96"/>
      <c r="E295" s="145"/>
      <c r="F295" s="8"/>
      <c r="G295" s="98" t="s">
        <v>111</v>
      </c>
      <c r="H295" s="99">
        <f>J295+L295+N295+P295</f>
        <v>3445.6</v>
      </c>
      <c r="I295" s="99">
        <v>1000</v>
      </c>
      <c r="J295" s="99">
        <v>3445.6</v>
      </c>
      <c r="K295" s="99">
        <v>1000</v>
      </c>
      <c r="L295" s="99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210"/>
      <c r="S295" s="211"/>
      <c r="T295" s="11"/>
    </row>
    <row r="296" spans="1:20" ht="12.75">
      <c r="A296" s="164"/>
      <c r="B296" s="167"/>
      <c r="C296" s="96"/>
      <c r="D296" s="96"/>
      <c r="E296" s="145"/>
      <c r="F296" s="8"/>
      <c r="G296" s="98" t="s">
        <v>112</v>
      </c>
      <c r="H296" s="99">
        <f>J296+L296+N296+P296</f>
        <v>3445.6</v>
      </c>
      <c r="I296" s="99">
        <v>1000</v>
      </c>
      <c r="J296" s="99">
        <v>3445.6</v>
      </c>
      <c r="K296" s="99">
        <v>1000</v>
      </c>
      <c r="L296" s="99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210"/>
      <c r="S296" s="211"/>
      <c r="T296" s="11"/>
    </row>
    <row r="297" spans="1:20" ht="12.75">
      <c r="A297" s="164"/>
      <c r="B297" s="167"/>
      <c r="C297" s="96"/>
      <c r="D297" s="96"/>
      <c r="E297" s="145"/>
      <c r="F297" s="8"/>
      <c r="G297" s="98" t="s">
        <v>113</v>
      </c>
      <c r="H297" s="99">
        <f t="shared" si="86"/>
        <v>3445.6</v>
      </c>
      <c r="I297" s="99">
        <f t="shared" si="86"/>
        <v>0</v>
      </c>
      <c r="J297" s="99">
        <v>3445.6</v>
      </c>
      <c r="K297" s="99">
        <v>0</v>
      </c>
      <c r="L297" s="99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210"/>
      <c r="S297" s="211"/>
      <c r="T297" s="11"/>
    </row>
    <row r="298" spans="1:20" ht="12.75">
      <c r="A298" s="165"/>
      <c r="B298" s="168"/>
      <c r="C298" s="97"/>
      <c r="D298" s="97"/>
      <c r="E298" s="146"/>
      <c r="F298" s="8"/>
      <c r="G298" s="12" t="s">
        <v>72</v>
      </c>
      <c r="H298" s="13">
        <f t="shared" si="86"/>
        <v>3445.6</v>
      </c>
      <c r="I298" s="13">
        <f t="shared" si="86"/>
        <v>0</v>
      </c>
      <c r="J298" s="13">
        <v>3445.6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212"/>
      <c r="S298" s="213"/>
      <c r="T298" s="11"/>
    </row>
    <row r="299" spans="1:20" ht="12.75" customHeight="1">
      <c r="A299" s="163">
        <f>A287+1</f>
        <v>23</v>
      </c>
      <c r="B299" s="166" t="s">
        <v>26</v>
      </c>
      <c r="C299" s="95"/>
      <c r="D299" s="95"/>
      <c r="E299" s="144" t="s">
        <v>50</v>
      </c>
      <c r="F299" s="8"/>
      <c r="G299" s="9" t="s">
        <v>9</v>
      </c>
      <c r="H299" s="10">
        <f aca="true" t="shared" si="87" ref="H299:Q299">SUM(H300:H310)</f>
        <v>211138.55999999997</v>
      </c>
      <c r="I299" s="10">
        <f t="shared" si="87"/>
        <v>36493.60800000001</v>
      </c>
      <c r="J299" s="10">
        <f t="shared" si="87"/>
        <v>222150.53999999995</v>
      </c>
      <c r="K299" s="10">
        <f>SUM(K300:K310)</f>
        <v>36493.60800000001</v>
      </c>
      <c r="L299" s="10">
        <f t="shared" si="87"/>
        <v>0</v>
      </c>
      <c r="M299" s="10">
        <f t="shared" si="87"/>
        <v>0</v>
      </c>
      <c r="N299" s="10">
        <f t="shared" si="87"/>
        <v>0</v>
      </c>
      <c r="O299" s="10">
        <f t="shared" si="87"/>
        <v>0</v>
      </c>
      <c r="P299" s="10">
        <f t="shared" si="87"/>
        <v>0</v>
      </c>
      <c r="Q299" s="10">
        <f t="shared" si="87"/>
        <v>0</v>
      </c>
      <c r="R299" s="208" t="s">
        <v>62</v>
      </c>
      <c r="S299" s="209"/>
      <c r="T299" s="11"/>
    </row>
    <row r="300" spans="1:26" ht="12.75">
      <c r="A300" s="164"/>
      <c r="B300" s="167"/>
      <c r="C300" s="96"/>
      <c r="D300" s="96"/>
      <c r="E300" s="145"/>
      <c r="F300" s="8" t="s">
        <v>27</v>
      </c>
      <c r="G300" s="12" t="s">
        <v>13</v>
      </c>
      <c r="H300" s="13">
        <f aca="true" t="shared" si="88" ref="H300:H310">J300+L300+N300+P300</f>
        <v>15000</v>
      </c>
      <c r="I300" s="13">
        <f aca="true" t="shared" si="89" ref="I300:I310">K300+M300+O300+Q300</f>
        <v>3718.1</v>
      </c>
      <c r="J300" s="13">
        <v>15000</v>
      </c>
      <c r="K300" s="13">
        <v>3718.1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210"/>
      <c r="S300" s="211"/>
      <c r="T300" s="14"/>
      <c r="U300" s="14" t="s">
        <v>73</v>
      </c>
      <c r="V300" s="14" t="s">
        <v>74</v>
      </c>
      <c r="W300" s="14" t="s">
        <v>75</v>
      </c>
      <c r="X300" s="14" t="s">
        <v>77</v>
      </c>
      <c r="Y300" s="14" t="s">
        <v>78</v>
      </c>
      <c r="Z300" s="14" t="s">
        <v>79</v>
      </c>
    </row>
    <row r="301" spans="1:27" ht="12.75">
      <c r="A301" s="164"/>
      <c r="B301" s="167"/>
      <c r="C301" s="96"/>
      <c r="D301" s="96"/>
      <c r="E301" s="145"/>
      <c r="F301" s="8"/>
      <c r="G301" s="12" t="s">
        <v>11</v>
      </c>
      <c r="H301" s="13">
        <f t="shared" si="88"/>
        <v>15795</v>
      </c>
      <c r="I301" s="13">
        <f t="shared" si="89"/>
        <v>4003.5</v>
      </c>
      <c r="J301" s="13">
        <v>15795</v>
      </c>
      <c r="K301" s="13">
        <v>4003.5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210"/>
      <c r="S301" s="211"/>
      <c r="T301" s="16"/>
      <c r="U301" s="16" t="s">
        <v>85</v>
      </c>
      <c r="V301" s="16" t="s">
        <v>86</v>
      </c>
      <c r="W301" s="16" t="s">
        <v>94</v>
      </c>
      <c r="X301" s="16" t="s">
        <v>89</v>
      </c>
      <c r="Y301" s="16" t="s">
        <v>95</v>
      </c>
      <c r="Z301" s="16" t="s">
        <v>91</v>
      </c>
      <c r="AA301" s="2">
        <f>2691575.77+205673.51</f>
        <v>2897249.2800000003</v>
      </c>
    </row>
    <row r="302" spans="1:26" ht="12.75">
      <c r="A302" s="164"/>
      <c r="B302" s="167"/>
      <c r="C302" s="96"/>
      <c r="D302" s="96"/>
      <c r="E302" s="145"/>
      <c r="F302" s="8"/>
      <c r="G302" s="12" t="s">
        <v>12</v>
      </c>
      <c r="H302" s="13">
        <f t="shared" si="88"/>
        <v>16632.1</v>
      </c>
      <c r="I302" s="13">
        <f t="shared" si="89"/>
        <v>2495.1</v>
      </c>
      <c r="J302" s="13">
        <v>16632.1</v>
      </c>
      <c r="K302" s="13">
        <v>2495.1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210"/>
      <c r="S302" s="211"/>
      <c r="T302" s="16"/>
      <c r="U302" s="16" t="s">
        <v>85</v>
      </c>
      <c r="V302" s="16" t="s">
        <v>86</v>
      </c>
      <c r="W302" s="16" t="s">
        <v>97</v>
      </c>
      <c r="X302" s="16" t="s">
        <v>100</v>
      </c>
      <c r="Y302" s="16" t="s">
        <v>95</v>
      </c>
      <c r="Z302" s="16" t="s">
        <v>91</v>
      </c>
    </row>
    <row r="303" spans="1:26" ht="12.75">
      <c r="A303" s="164"/>
      <c r="B303" s="167"/>
      <c r="C303" s="96"/>
      <c r="D303" s="96"/>
      <c r="E303" s="145"/>
      <c r="F303" s="8"/>
      <c r="G303" s="12" t="s">
        <v>14</v>
      </c>
      <c r="H303" s="13">
        <f t="shared" si="88"/>
        <v>17480.4</v>
      </c>
      <c r="I303" s="13">
        <f t="shared" si="89"/>
        <v>2687</v>
      </c>
      <c r="J303" s="13">
        <v>17480.4</v>
      </c>
      <c r="K303" s="13">
        <v>2687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210"/>
      <c r="S303" s="211"/>
      <c r="T303" s="16"/>
      <c r="U303" s="16" t="s">
        <v>85</v>
      </c>
      <c r="V303" s="16" t="s">
        <v>86</v>
      </c>
      <c r="W303" s="16" t="s">
        <v>97</v>
      </c>
      <c r="X303" s="16" t="s">
        <v>101</v>
      </c>
      <c r="Y303" s="16" t="s">
        <v>95</v>
      </c>
      <c r="Z303" s="16" t="s">
        <v>91</v>
      </c>
    </row>
    <row r="304" spans="1:26" ht="12.75">
      <c r="A304" s="164"/>
      <c r="B304" s="167"/>
      <c r="C304" s="96" t="s">
        <v>166</v>
      </c>
      <c r="D304" s="96" t="s">
        <v>167</v>
      </c>
      <c r="E304" s="145"/>
      <c r="F304" s="8"/>
      <c r="G304" s="12" t="s">
        <v>15</v>
      </c>
      <c r="H304" s="13">
        <f t="shared" si="88"/>
        <v>18336.9</v>
      </c>
      <c r="I304" s="13">
        <f t="shared" si="89"/>
        <v>4935.7</v>
      </c>
      <c r="J304" s="13">
        <v>18336.9</v>
      </c>
      <c r="K304" s="13">
        <v>4935.7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210"/>
      <c r="S304" s="211"/>
      <c r="T304" s="16"/>
      <c r="U304" s="16" t="s">
        <v>85</v>
      </c>
      <c r="V304" s="16" t="s">
        <v>102</v>
      </c>
      <c r="W304" s="16" t="s">
        <v>103</v>
      </c>
      <c r="X304" s="16" t="s">
        <v>104</v>
      </c>
      <c r="Y304" s="16" t="s">
        <v>95</v>
      </c>
      <c r="Z304" s="16" t="s">
        <v>91</v>
      </c>
    </row>
    <row r="305" spans="1:20" ht="12.75">
      <c r="A305" s="164"/>
      <c r="B305" s="167"/>
      <c r="C305" s="96"/>
      <c r="D305" s="96"/>
      <c r="E305" s="145"/>
      <c r="F305" s="8"/>
      <c r="G305" s="12" t="s">
        <v>61</v>
      </c>
      <c r="H305" s="13">
        <f t="shared" si="88"/>
        <v>19732.6</v>
      </c>
      <c r="I305" s="13">
        <f t="shared" si="89"/>
        <v>5656.608</v>
      </c>
      <c r="J305" s="13">
        <v>19732.6</v>
      </c>
      <c r="K305" s="13">
        <v>5656.608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210"/>
      <c r="S305" s="211"/>
      <c r="T305" s="11"/>
    </row>
    <row r="306" spans="1:20" ht="12.75">
      <c r="A306" s="164"/>
      <c r="B306" s="167"/>
      <c r="C306" s="96"/>
      <c r="D306" s="96"/>
      <c r="E306" s="145"/>
      <c r="F306" s="8"/>
      <c r="G306" s="98" t="s">
        <v>110</v>
      </c>
      <c r="H306" s="99">
        <f t="shared" si="88"/>
        <v>7207.2</v>
      </c>
      <c r="I306" s="99">
        <f>K306</f>
        <v>7200</v>
      </c>
      <c r="J306" s="99">
        <v>7207.2</v>
      </c>
      <c r="K306" s="99">
        <v>7200</v>
      </c>
      <c r="L306" s="99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210"/>
      <c r="S306" s="211"/>
      <c r="T306" s="11"/>
    </row>
    <row r="307" spans="1:21" ht="12.75">
      <c r="A307" s="164"/>
      <c r="B307" s="167"/>
      <c r="C307" s="96"/>
      <c r="D307" s="96"/>
      <c r="E307" s="145"/>
      <c r="F307" s="8"/>
      <c r="G307" s="98" t="s">
        <v>111</v>
      </c>
      <c r="H307" s="99">
        <f t="shared" si="88"/>
        <v>19732.6</v>
      </c>
      <c r="I307" s="99">
        <f>K307</f>
        <v>2898.8</v>
      </c>
      <c r="J307" s="99">
        <v>19732.6</v>
      </c>
      <c r="K307" s="99">
        <v>2898.8</v>
      </c>
      <c r="L307" s="99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210"/>
      <c r="S307" s="211"/>
      <c r="T307" s="11"/>
      <c r="U307" s="2">
        <f>24425.8-16143.8-3624.5</f>
        <v>4657.5</v>
      </c>
    </row>
    <row r="308" spans="1:21" ht="12.75">
      <c r="A308" s="164"/>
      <c r="B308" s="167"/>
      <c r="C308" s="96"/>
      <c r="D308" s="96"/>
      <c r="E308" s="145"/>
      <c r="F308" s="8"/>
      <c r="G308" s="98" t="s">
        <v>112</v>
      </c>
      <c r="H308" s="99">
        <v>19732.6</v>
      </c>
      <c r="I308" s="99">
        <f>K308</f>
        <v>2898.8</v>
      </c>
      <c r="J308" s="99">
        <f>19732.6+11011.98</f>
        <v>30744.579999999998</v>
      </c>
      <c r="K308" s="99">
        <v>2898.8</v>
      </c>
      <c r="L308" s="99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210"/>
      <c r="S308" s="211"/>
      <c r="T308" s="11"/>
      <c r="U308" s="6">
        <f>U307-K307</f>
        <v>1758.6999999999998</v>
      </c>
    </row>
    <row r="309" spans="1:20" ht="12.75">
      <c r="A309" s="164"/>
      <c r="B309" s="167"/>
      <c r="C309" s="96"/>
      <c r="D309" s="96"/>
      <c r="E309" s="145"/>
      <c r="F309" s="8"/>
      <c r="G309" s="98" t="s">
        <v>113</v>
      </c>
      <c r="H309" s="99">
        <f t="shared" si="88"/>
        <v>30744.579999999998</v>
      </c>
      <c r="I309" s="99">
        <f t="shared" si="89"/>
        <v>0</v>
      </c>
      <c r="J309" s="99">
        <f>19732.6+11011.98</f>
        <v>30744.579999999998</v>
      </c>
      <c r="K309" s="99">
        <v>0</v>
      </c>
      <c r="L309" s="99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210"/>
      <c r="S309" s="211"/>
      <c r="T309" s="11"/>
    </row>
    <row r="310" spans="1:20" ht="12.75">
      <c r="A310" s="165"/>
      <c r="B310" s="168"/>
      <c r="C310" s="97"/>
      <c r="D310" s="97"/>
      <c r="E310" s="146"/>
      <c r="F310" s="8"/>
      <c r="G310" s="12" t="s">
        <v>72</v>
      </c>
      <c r="H310" s="13">
        <f t="shared" si="88"/>
        <v>30744.579999999998</v>
      </c>
      <c r="I310" s="13">
        <f t="shared" si="89"/>
        <v>0</v>
      </c>
      <c r="J310" s="13">
        <f>19732.6+11011.98</f>
        <v>30744.579999999998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212"/>
      <c r="S310" s="213"/>
      <c r="T310" s="11"/>
    </row>
    <row r="311" spans="1:20" ht="12.75" customHeight="1">
      <c r="A311" s="163">
        <v>24</v>
      </c>
      <c r="B311" s="144" t="s">
        <v>63</v>
      </c>
      <c r="C311" s="69"/>
      <c r="D311" s="69"/>
      <c r="E311" s="144" t="s">
        <v>50</v>
      </c>
      <c r="F311" s="8"/>
      <c r="G311" s="9" t="s">
        <v>9</v>
      </c>
      <c r="H311" s="10">
        <f aca="true" t="shared" si="90" ref="H311:Q311">SUM(H312:H322)</f>
        <v>10000</v>
      </c>
      <c r="I311" s="10">
        <f t="shared" si="90"/>
        <v>10000</v>
      </c>
      <c r="J311" s="10">
        <f t="shared" si="90"/>
        <v>10000</v>
      </c>
      <c r="K311" s="10">
        <f t="shared" si="90"/>
        <v>10000</v>
      </c>
      <c r="L311" s="10">
        <f t="shared" si="90"/>
        <v>0</v>
      </c>
      <c r="M311" s="10">
        <f t="shared" si="90"/>
        <v>0</v>
      </c>
      <c r="N311" s="10">
        <f t="shared" si="90"/>
        <v>0</v>
      </c>
      <c r="O311" s="10">
        <f t="shared" si="90"/>
        <v>0</v>
      </c>
      <c r="P311" s="10">
        <f t="shared" si="90"/>
        <v>0</v>
      </c>
      <c r="Q311" s="10">
        <f t="shared" si="90"/>
        <v>0</v>
      </c>
      <c r="R311" s="157" t="s">
        <v>62</v>
      </c>
      <c r="S311" s="158"/>
      <c r="T311" s="11"/>
    </row>
    <row r="312" spans="1:26" ht="12.75">
      <c r="A312" s="164"/>
      <c r="B312" s="145"/>
      <c r="C312" s="70"/>
      <c r="D312" s="70"/>
      <c r="E312" s="145"/>
      <c r="F312" s="8"/>
      <c r="G312" s="12" t="s">
        <v>13</v>
      </c>
      <c r="H312" s="13">
        <f aca="true" t="shared" si="91" ref="H312:H322">J312+L312+N312+P312</f>
        <v>0</v>
      </c>
      <c r="I312" s="13">
        <f aca="true" t="shared" si="92" ref="I312:I322">K312+M312+O312+Q312</f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59"/>
      <c r="S312" s="160"/>
      <c r="T312" s="14"/>
      <c r="U312" s="14" t="s">
        <v>73</v>
      </c>
      <c r="V312" s="14" t="s">
        <v>74</v>
      </c>
      <c r="W312" s="14" t="s">
        <v>75</v>
      </c>
      <c r="X312" s="14" t="s">
        <v>77</v>
      </c>
      <c r="Y312" s="14" t="s">
        <v>78</v>
      </c>
      <c r="Z312" s="14" t="s">
        <v>79</v>
      </c>
    </row>
    <row r="313" spans="1:26" ht="12.75">
      <c r="A313" s="164"/>
      <c r="B313" s="145"/>
      <c r="C313" s="70"/>
      <c r="D313" s="70"/>
      <c r="E313" s="145"/>
      <c r="F313" s="8"/>
      <c r="G313" s="12" t="s">
        <v>11</v>
      </c>
      <c r="H313" s="13">
        <f t="shared" si="91"/>
        <v>0</v>
      </c>
      <c r="I313" s="13">
        <f t="shared" si="92"/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59"/>
      <c r="S313" s="160"/>
      <c r="T313" s="16"/>
      <c r="U313" s="16" t="s">
        <v>85</v>
      </c>
      <c r="V313" s="16" t="s">
        <v>86</v>
      </c>
      <c r="W313" s="16" t="s">
        <v>94</v>
      </c>
      <c r="X313" s="16" t="s">
        <v>89</v>
      </c>
      <c r="Y313" s="16" t="s">
        <v>95</v>
      </c>
      <c r="Z313" s="16" t="s">
        <v>91</v>
      </c>
    </row>
    <row r="314" spans="1:26" ht="12.75">
      <c r="A314" s="164"/>
      <c r="B314" s="145"/>
      <c r="C314" s="70"/>
      <c r="D314" s="70"/>
      <c r="E314" s="145"/>
      <c r="F314" s="8"/>
      <c r="G314" s="12" t="s">
        <v>12</v>
      </c>
      <c r="H314" s="13">
        <f t="shared" si="91"/>
        <v>0</v>
      </c>
      <c r="I314" s="13">
        <f t="shared" si="92"/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59"/>
      <c r="S314" s="160"/>
      <c r="T314" s="16"/>
      <c r="U314" s="16" t="s">
        <v>85</v>
      </c>
      <c r="V314" s="16" t="s">
        <v>86</v>
      </c>
      <c r="W314" s="16" t="s">
        <v>97</v>
      </c>
      <c r="X314" s="16" t="s">
        <v>100</v>
      </c>
      <c r="Y314" s="16" t="s">
        <v>95</v>
      </c>
      <c r="Z314" s="16" t="s">
        <v>91</v>
      </c>
    </row>
    <row r="315" spans="1:27" ht="12.75">
      <c r="A315" s="164"/>
      <c r="B315" s="145"/>
      <c r="C315" s="70"/>
      <c r="D315" s="70"/>
      <c r="E315" s="145"/>
      <c r="F315" s="8"/>
      <c r="G315" s="12" t="s">
        <v>14</v>
      </c>
      <c r="H315" s="13">
        <f t="shared" si="91"/>
        <v>10000</v>
      </c>
      <c r="I315" s="13">
        <f t="shared" si="92"/>
        <v>10000</v>
      </c>
      <c r="J315" s="13">
        <v>10000</v>
      </c>
      <c r="K315" s="13">
        <v>10000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59"/>
      <c r="S315" s="160"/>
      <c r="T315" s="16"/>
      <c r="U315" s="16" t="s">
        <v>85</v>
      </c>
      <c r="V315" s="16" t="s">
        <v>86</v>
      </c>
      <c r="W315" s="16" t="s">
        <v>97</v>
      </c>
      <c r="X315" s="16" t="s">
        <v>101</v>
      </c>
      <c r="Y315" s="16" t="s">
        <v>95</v>
      </c>
      <c r="Z315" s="16" t="s">
        <v>91</v>
      </c>
      <c r="AA315" s="2">
        <v>10000000</v>
      </c>
    </row>
    <row r="316" spans="1:26" ht="12.75">
      <c r="A316" s="164"/>
      <c r="B316" s="145"/>
      <c r="C316" s="70"/>
      <c r="D316" s="70"/>
      <c r="E316" s="145"/>
      <c r="F316" s="8"/>
      <c r="G316" s="12" t="s">
        <v>15</v>
      </c>
      <c r="H316" s="13">
        <f t="shared" si="91"/>
        <v>0</v>
      </c>
      <c r="I316" s="13">
        <f t="shared" si="92"/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59"/>
      <c r="S316" s="160"/>
      <c r="T316" s="16"/>
      <c r="U316" s="16" t="s">
        <v>85</v>
      </c>
      <c r="V316" s="16" t="s">
        <v>102</v>
      </c>
      <c r="W316" s="16" t="s">
        <v>103</v>
      </c>
      <c r="X316" s="16" t="s">
        <v>104</v>
      </c>
      <c r="Y316" s="16" t="s">
        <v>95</v>
      </c>
      <c r="Z316" s="16" t="s">
        <v>91</v>
      </c>
    </row>
    <row r="317" spans="1:20" ht="12.75">
      <c r="A317" s="164"/>
      <c r="B317" s="145"/>
      <c r="C317" s="88"/>
      <c r="D317" s="88"/>
      <c r="E317" s="145"/>
      <c r="F317" s="8"/>
      <c r="G317" s="12" t="s">
        <v>61</v>
      </c>
      <c r="H317" s="13">
        <f t="shared" si="91"/>
        <v>0</v>
      </c>
      <c r="I317" s="13">
        <f t="shared" si="92"/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59"/>
      <c r="S317" s="160"/>
      <c r="T317" s="11"/>
    </row>
    <row r="318" spans="1:20" ht="12.75">
      <c r="A318" s="164"/>
      <c r="B318" s="145"/>
      <c r="C318" s="70"/>
      <c r="D318" s="70"/>
      <c r="E318" s="145"/>
      <c r="F318" s="8"/>
      <c r="G318" s="12" t="s">
        <v>110</v>
      </c>
      <c r="H318" s="13">
        <f t="shared" si="91"/>
        <v>0</v>
      </c>
      <c r="I318" s="13">
        <f t="shared" si="92"/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59"/>
      <c r="S318" s="160"/>
      <c r="T318" s="11"/>
    </row>
    <row r="319" spans="1:20" ht="12.75">
      <c r="A319" s="164"/>
      <c r="B319" s="145"/>
      <c r="C319" s="70"/>
      <c r="D319" s="70"/>
      <c r="E319" s="145"/>
      <c r="F319" s="8"/>
      <c r="G319" s="12" t="s">
        <v>111</v>
      </c>
      <c r="H319" s="13">
        <f t="shared" si="91"/>
        <v>0</v>
      </c>
      <c r="I319" s="13">
        <f t="shared" si="92"/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59"/>
      <c r="S319" s="160"/>
      <c r="T319" s="11"/>
    </row>
    <row r="320" spans="1:20" ht="12.75">
      <c r="A320" s="164"/>
      <c r="B320" s="145"/>
      <c r="C320" s="70"/>
      <c r="D320" s="70"/>
      <c r="E320" s="145"/>
      <c r="F320" s="8"/>
      <c r="G320" s="12" t="s">
        <v>112</v>
      </c>
      <c r="H320" s="13">
        <f t="shared" si="91"/>
        <v>0</v>
      </c>
      <c r="I320" s="13">
        <f t="shared" si="92"/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59"/>
      <c r="S320" s="160"/>
      <c r="T320" s="11"/>
    </row>
    <row r="321" spans="1:20" ht="12.75">
      <c r="A321" s="164"/>
      <c r="B321" s="145"/>
      <c r="C321" s="70"/>
      <c r="D321" s="70"/>
      <c r="E321" s="145"/>
      <c r="F321" s="8"/>
      <c r="G321" s="12" t="s">
        <v>113</v>
      </c>
      <c r="H321" s="13">
        <f t="shared" si="91"/>
        <v>0</v>
      </c>
      <c r="I321" s="13">
        <f t="shared" si="92"/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59"/>
      <c r="S321" s="160"/>
      <c r="T321" s="11"/>
    </row>
    <row r="322" spans="1:20" ht="12.75">
      <c r="A322" s="165"/>
      <c r="B322" s="146"/>
      <c r="C322" s="71"/>
      <c r="D322" s="71"/>
      <c r="E322" s="146"/>
      <c r="F322" s="8"/>
      <c r="G322" s="12" t="s">
        <v>72</v>
      </c>
      <c r="H322" s="13">
        <f t="shared" si="91"/>
        <v>0</v>
      </c>
      <c r="I322" s="13">
        <f t="shared" si="92"/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61"/>
      <c r="S322" s="162"/>
      <c r="T322" s="11"/>
    </row>
    <row r="323" spans="1:20" ht="12.75">
      <c r="A323" s="163">
        <v>25</v>
      </c>
      <c r="B323" s="166" t="s">
        <v>156</v>
      </c>
      <c r="C323" s="95"/>
      <c r="D323" s="95"/>
      <c r="E323" s="144" t="s">
        <v>157</v>
      </c>
      <c r="F323" s="8"/>
      <c r="G323" s="9" t="s">
        <v>9</v>
      </c>
      <c r="H323" s="10">
        <f aca="true" t="shared" si="93" ref="H323:Q323">SUM(H324:H334)</f>
        <v>2919.244</v>
      </c>
      <c r="I323" s="10">
        <f t="shared" si="93"/>
        <v>2919.244</v>
      </c>
      <c r="J323" s="10">
        <f t="shared" si="93"/>
        <v>2919.244</v>
      </c>
      <c r="K323" s="10">
        <f t="shared" si="93"/>
        <v>2919.2000000000003</v>
      </c>
      <c r="L323" s="10">
        <f t="shared" si="93"/>
        <v>0</v>
      </c>
      <c r="M323" s="10">
        <f t="shared" si="93"/>
        <v>0</v>
      </c>
      <c r="N323" s="10">
        <f t="shared" si="93"/>
        <v>0</v>
      </c>
      <c r="O323" s="10">
        <f t="shared" si="93"/>
        <v>0</v>
      </c>
      <c r="P323" s="10">
        <f t="shared" si="93"/>
        <v>0</v>
      </c>
      <c r="Q323" s="10">
        <f t="shared" si="93"/>
        <v>0</v>
      </c>
      <c r="R323" s="208" t="s">
        <v>62</v>
      </c>
      <c r="S323" s="209"/>
      <c r="T323" s="11"/>
    </row>
    <row r="324" spans="1:20" ht="12.75">
      <c r="A324" s="164"/>
      <c r="B324" s="167"/>
      <c r="C324" s="96"/>
      <c r="D324" s="96"/>
      <c r="E324" s="145"/>
      <c r="F324" s="8"/>
      <c r="G324" s="12" t="s">
        <v>13</v>
      </c>
      <c r="H324" s="13">
        <f aca="true" t="shared" si="94" ref="H324:H329">J324+L324+N324+P324</f>
        <v>0</v>
      </c>
      <c r="I324" s="13">
        <f aca="true" t="shared" si="95" ref="I324:I334">K324+M324+O324+Q324</f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210"/>
      <c r="S324" s="211"/>
      <c r="T324" s="11"/>
    </row>
    <row r="325" spans="1:20" ht="12.75">
      <c r="A325" s="164"/>
      <c r="B325" s="167"/>
      <c r="C325" s="96"/>
      <c r="D325" s="96"/>
      <c r="E325" s="145"/>
      <c r="F325" s="8"/>
      <c r="G325" s="12" t="s">
        <v>11</v>
      </c>
      <c r="H325" s="13">
        <f t="shared" si="94"/>
        <v>0</v>
      </c>
      <c r="I325" s="13">
        <f t="shared" si="95"/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210"/>
      <c r="S325" s="211"/>
      <c r="T325" s="11"/>
    </row>
    <row r="326" spans="1:20" ht="12.75">
      <c r="A326" s="164"/>
      <c r="B326" s="167"/>
      <c r="C326" s="96"/>
      <c r="D326" s="96"/>
      <c r="E326" s="145"/>
      <c r="F326" s="8"/>
      <c r="G326" s="12" t="s">
        <v>12</v>
      </c>
      <c r="H326" s="13">
        <f t="shared" si="94"/>
        <v>0</v>
      </c>
      <c r="I326" s="13">
        <f t="shared" si="95"/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210"/>
      <c r="S326" s="211"/>
      <c r="T326" s="11"/>
    </row>
    <row r="327" spans="1:20" ht="12.75">
      <c r="A327" s="164"/>
      <c r="B327" s="167"/>
      <c r="C327" s="96"/>
      <c r="D327" s="96"/>
      <c r="E327" s="145"/>
      <c r="F327" s="8"/>
      <c r="G327" s="12" t="s">
        <v>14</v>
      </c>
      <c r="H327" s="13">
        <f t="shared" si="94"/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210"/>
      <c r="S327" s="211"/>
      <c r="T327" s="11"/>
    </row>
    <row r="328" spans="1:20" ht="12.75">
      <c r="A328" s="164"/>
      <c r="B328" s="167"/>
      <c r="C328" s="96"/>
      <c r="D328" s="96"/>
      <c r="E328" s="145"/>
      <c r="F328" s="8"/>
      <c r="G328" s="12" t="s">
        <v>15</v>
      </c>
      <c r="H328" s="13">
        <f t="shared" si="94"/>
        <v>0</v>
      </c>
      <c r="I328" s="13">
        <f t="shared" si="95"/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210"/>
      <c r="S328" s="211"/>
      <c r="T328" s="11"/>
    </row>
    <row r="329" spans="1:20" ht="12.75">
      <c r="A329" s="164"/>
      <c r="B329" s="167"/>
      <c r="C329" s="96" t="s">
        <v>163</v>
      </c>
      <c r="D329" s="96" t="s">
        <v>164</v>
      </c>
      <c r="E329" s="145"/>
      <c r="F329" s="8"/>
      <c r="G329" s="12" t="s">
        <v>61</v>
      </c>
      <c r="H329" s="13">
        <f t="shared" si="94"/>
        <v>633.944</v>
      </c>
      <c r="I329" s="13">
        <v>633.944</v>
      </c>
      <c r="J329" s="13">
        <v>633.944</v>
      </c>
      <c r="K329" s="13">
        <v>633.9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210"/>
      <c r="S329" s="211"/>
      <c r="T329" s="11"/>
    </row>
    <row r="330" spans="1:20" ht="12.75">
      <c r="A330" s="164"/>
      <c r="B330" s="167"/>
      <c r="C330" s="96"/>
      <c r="D330" s="96"/>
      <c r="E330" s="145"/>
      <c r="F330" s="8"/>
      <c r="G330" s="98" t="s">
        <v>110</v>
      </c>
      <c r="H330" s="99">
        <f>J330</f>
        <v>2285.3</v>
      </c>
      <c r="I330" s="99">
        <f t="shared" si="95"/>
        <v>2285.3</v>
      </c>
      <c r="J330" s="99">
        <v>2285.3</v>
      </c>
      <c r="K330" s="99">
        <v>2285.3</v>
      </c>
      <c r="L330" s="99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210"/>
      <c r="S330" s="211"/>
      <c r="T330" s="11"/>
    </row>
    <row r="331" spans="1:20" ht="12.75">
      <c r="A331" s="164"/>
      <c r="B331" s="167"/>
      <c r="C331" s="96"/>
      <c r="D331" s="96"/>
      <c r="E331" s="145"/>
      <c r="F331" s="8"/>
      <c r="G331" s="98" t="s">
        <v>111</v>
      </c>
      <c r="H331" s="99">
        <v>0</v>
      </c>
      <c r="I331" s="99">
        <f t="shared" si="95"/>
        <v>0</v>
      </c>
      <c r="J331" s="99">
        <v>0</v>
      </c>
      <c r="K331" s="99">
        <v>0</v>
      </c>
      <c r="L331" s="99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210"/>
      <c r="S331" s="211"/>
      <c r="T331" s="11"/>
    </row>
    <row r="332" spans="1:20" ht="12.75">
      <c r="A332" s="164"/>
      <c r="B332" s="167"/>
      <c r="C332" s="96"/>
      <c r="D332" s="96"/>
      <c r="E332" s="145"/>
      <c r="F332" s="8"/>
      <c r="G332" s="98" t="s">
        <v>112</v>
      </c>
      <c r="H332" s="99">
        <v>0</v>
      </c>
      <c r="I332" s="99">
        <f t="shared" si="95"/>
        <v>0</v>
      </c>
      <c r="J332" s="99">
        <v>0</v>
      </c>
      <c r="K332" s="99">
        <v>0</v>
      </c>
      <c r="L332" s="99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210"/>
      <c r="S332" s="211"/>
      <c r="T332" s="11"/>
    </row>
    <row r="333" spans="1:20" ht="12.75">
      <c r="A333" s="164"/>
      <c r="B333" s="167"/>
      <c r="C333" s="96"/>
      <c r="D333" s="96"/>
      <c r="E333" s="145"/>
      <c r="F333" s="8"/>
      <c r="G333" s="98" t="s">
        <v>113</v>
      </c>
      <c r="H333" s="99">
        <v>0</v>
      </c>
      <c r="I333" s="99">
        <f t="shared" si="95"/>
        <v>0</v>
      </c>
      <c r="J333" s="99">
        <v>0</v>
      </c>
      <c r="K333" s="99">
        <v>0</v>
      </c>
      <c r="L333" s="99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210"/>
      <c r="S333" s="211"/>
      <c r="T333" s="11"/>
    </row>
    <row r="334" spans="1:20" ht="12.75">
      <c r="A334" s="165"/>
      <c r="B334" s="168"/>
      <c r="C334" s="97"/>
      <c r="D334" s="97"/>
      <c r="E334" s="146"/>
      <c r="F334" s="8"/>
      <c r="G334" s="12" t="s">
        <v>72</v>
      </c>
      <c r="H334" s="13">
        <v>0</v>
      </c>
      <c r="I334" s="13">
        <f t="shared" si="95"/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212"/>
      <c r="S334" s="213"/>
      <c r="T334" s="11"/>
    </row>
    <row r="335" spans="1:20" ht="12.75">
      <c r="A335" s="234"/>
      <c r="B335" s="214" t="s">
        <v>40</v>
      </c>
      <c r="C335" s="72"/>
      <c r="D335" s="72"/>
      <c r="E335" s="214"/>
      <c r="F335" s="8"/>
      <c r="G335" s="28" t="s">
        <v>9</v>
      </c>
      <c r="H335" s="10">
        <f aca="true" t="shared" si="96" ref="H335:Q335">SUM(H336:H346)</f>
        <v>678434.004</v>
      </c>
      <c r="I335" s="10">
        <f t="shared" si="96"/>
        <v>212210.316</v>
      </c>
      <c r="J335" s="10">
        <f t="shared" si="96"/>
        <v>678434.004</v>
      </c>
      <c r="K335" s="10">
        <f t="shared" si="96"/>
        <v>212210.272</v>
      </c>
      <c r="L335" s="10">
        <f t="shared" si="96"/>
        <v>0</v>
      </c>
      <c r="M335" s="10">
        <f t="shared" si="96"/>
        <v>0</v>
      </c>
      <c r="N335" s="10">
        <f t="shared" si="96"/>
        <v>0</v>
      </c>
      <c r="O335" s="10">
        <f t="shared" si="96"/>
        <v>0</v>
      </c>
      <c r="P335" s="10">
        <f t="shared" si="96"/>
        <v>0</v>
      </c>
      <c r="Q335" s="10">
        <f t="shared" si="96"/>
        <v>0</v>
      </c>
      <c r="R335" s="214"/>
      <c r="S335" s="214"/>
      <c r="T335" s="11"/>
    </row>
    <row r="336" spans="1:20" ht="12.75">
      <c r="A336" s="234"/>
      <c r="B336" s="214"/>
      <c r="C336" s="72"/>
      <c r="D336" s="72"/>
      <c r="E336" s="214"/>
      <c r="F336" s="8"/>
      <c r="G336" s="8" t="s">
        <v>13</v>
      </c>
      <c r="H336" s="13">
        <f>J336+L336+N336+P336</f>
        <v>42087.100000000006</v>
      </c>
      <c r="I336" s="13">
        <f aca="true" t="shared" si="97" ref="I336:Q336">I300+I288+I276+I264+I312</f>
        <v>24641.3</v>
      </c>
      <c r="J336" s="13">
        <f t="shared" si="97"/>
        <v>42087.100000000006</v>
      </c>
      <c r="K336" s="13">
        <f t="shared" si="97"/>
        <v>24641.3</v>
      </c>
      <c r="L336" s="13">
        <f t="shared" si="97"/>
        <v>0</v>
      </c>
      <c r="M336" s="13">
        <f t="shared" si="97"/>
        <v>0</v>
      </c>
      <c r="N336" s="13">
        <f t="shared" si="97"/>
        <v>0</v>
      </c>
      <c r="O336" s="13">
        <f t="shared" si="97"/>
        <v>0</v>
      </c>
      <c r="P336" s="13">
        <f t="shared" si="97"/>
        <v>0</v>
      </c>
      <c r="Q336" s="13">
        <f t="shared" si="97"/>
        <v>0</v>
      </c>
      <c r="R336" s="214"/>
      <c r="S336" s="214"/>
      <c r="T336" s="11">
        <f>K269+K293+K305+K329</f>
        <v>22614.872000000003</v>
      </c>
    </row>
    <row r="337" spans="1:20" ht="12.75">
      <c r="A337" s="234"/>
      <c r="B337" s="214"/>
      <c r="C337" s="72"/>
      <c r="D337" s="72"/>
      <c r="E337" s="214"/>
      <c r="F337" s="8"/>
      <c r="G337" s="8" t="s">
        <v>11</v>
      </c>
      <c r="H337" s="13">
        <f aca="true" t="shared" si="98" ref="H337:H346">J337+L337+N337+P337</f>
        <v>45660.5</v>
      </c>
      <c r="I337" s="13">
        <f aca="true" t="shared" si="99" ref="I337:Q337">I301+I289+I277+I265+I313</f>
        <v>24754.8</v>
      </c>
      <c r="J337" s="13">
        <f t="shared" si="99"/>
        <v>45660.5</v>
      </c>
      <c r="K337" s="13">
        <f t="shared" si="99"/>
        <v>24754.8</v>
      </c>
      <c r="L337" s="13">
        <f t="shared" si="99"/>
        <v>0</v>
      </c>
      <c r="M337" s="13">
        <f t="shared" si="99"/>
        <v>0</v>
      </c>
      <c r="N337" s="13">
        <f t="shared" si="99"/>
        <v>0</v>
      </c>
      <c r="O337" s="13">
        <f t="shared" si="99"/>
        <v>0</v>
      </c>
      <c r="P337" s="13">
        <f t="shared" si="99"/>
        <v>0</v>
      </c>
      <c r="Q337" s="13">
        <f t="shared" si="99"/>
        <v>0</v>
      </c>
      <c r="R337" s="214"/>
      <c r="S337" s="214"/>
      <c r="T337" s="11"/>
    </row>
    <row r="338" spans="1:20" ht="12.75">
      <c r="A338" s="234"/>
      <c r="B338" s="214"/>
      <c r="C338" s="72"/>
      <c r="D338" s="72"/>
      <c r="E338" s="214"/>
      <c r="F338" s="8"/>
      <c r="G338" s="8" t="s">
        <v>12</v>
      </c>
      <c r="H338" s="13">
        <f t="shared" si="98"/>
        <v>49565.1</v>
      </c>
      <c r="I338" s="13">
        <f aca="true" t="shared" si="100" ref="I338:Q338">I302+I290+I278+I266+I314</f>
        <v>21249.5</v>
      </c>
      <c r="J338" s="13">
        <f t="shared" si="100"/>
        <v>49565.1</v>
      </c>
      <c r="K338" s="13">
        <f t="shared" si="100"/>
        <v>21249.5</v>
      </c>
      <c r="L338" s="13">
        <f t="shared" si="100"/>
        <v>0</v>
      </c>
      <c r="M338" s="13">
        <f t="shared" si="100"/>
        <v>0</v>
      </c>
      <c r="N338" s="13">
        <f t="shared" si="100"/>
        <v>0</v>
      </c>
      <c r="O338" s="13">
        <f t="shared" si="100"/>
        <v>0</v>
      </c>
      <c r="P338" s="13">
        <f t="shared" si="100"/>
        <v>0</v>
      </c>
      <c r="Q338" s="13">
        <f t="shared" si="100"/>
        <v>0</v>
      </c>
      <c r="R338" s="214"/>
      <c r="S338" s="214"/>
      <c r="T338" s="11"/>
    </row>
    <row r="339" spans="1:20" ht="12.75">
      <c r="A339" s="234"/>
      <c r="B339" s="214"/>
      <c r="C339" s="72"/>
      <c r="D339" s="72"/>
      <c r="E339" s="214"/>
      <c r="F339" s="8"/>
      <c r="G339" s="8" t="s">
        <v>14</v>
      </c>
      <c r="H339" s="13">
        <f t="shared" si="98"/>
        <v>63731.399999999994</v>
      </c>
      <c r="I339" s="13">
        <f aca="true" t="shared" si="101" ref="I339:Q339">I303+I291+I279+I267+I315</f>
        <v>34145.7</v>
      </c>
      <c r="J339" s="13">
        <f t="shared" si="101"/>
        <v>63731.399999999994</v>
      </c>
      <c r="K339" s="13">
        <f t="shared" si="101"/>
        <v>34145.7</v>
      </c>
      <c r="L339" s="13">
        <f t="shared" si="101"/>
        <v>0</v>
      </c>
      <c r="M339" s="13">
        <f t="shared" si="101"/>
        <v>0</v>
      </c>
      <c r="N339" s="13">
        <f t="shared" si="101"/>
        <v>0</v>
      </c>
      <c r="O339" s="13">
        <f t="shared" si="101"/>
        <v>0</v>
      </c>
      <c r="P339" s="13">
        <f t="shared" si="101"/>
        <v>0</v>
      </c>
      <c r="Q339" s="13">
        <f t="shared" si="101"/>
        <v>0</v>
      </c>
      <c r="R339" s="214"/>
      <c r="S339" s="214"/>
      <c r="T339" s="11"/>
    </row>
    <row r="340" spans="1:20" ht="12.75">
      <c r="A340" s="234"/>
      <c r="B340" s="214"/>
      <c r="C340" s="72"/>
      <c r="D340" s="72"/>
      <c r="E340" s="214"/>
      <c r="F340" s="8"/>
      <c r="G340" s="8" t="s">
        <v>15</v>
      </c>
      <c r="H340" s="13">
        <f t="shared" si="98"/>
        <v>59591.90000000001</v>
      </c>
      <c r="I340" s="13">
        <f aca="true" t="shared" si="102" ref="I340:Q340">I304+I292+I280+I268+I316</f>
        <v>24067.5</v>
      </c>
      <c r="J340" s="13">
        <f t="shared" si="102"/>
        <v>59591.90000000001</v>
      </c>
      <c r="K340" s="13">
        <f t="shared" si="102"/>
        <v>24067.5</v>
      </c>
      <c r="L340" s="13">
        <f t="shared" si="102"/>
        <v>0</v>
      </c>
      <c r="M340" s="13">
        <f t="shared" si="102"/>
        <v>0</v>
      </c>
      <c r="N340" s="13">
        <f t="shared" si="102"/>
        <v>0</v>
      </c>
      <c r="O340" s="13">
        <f t="shared" si="102"/>
        <v>0</v>
      </c>
      <c r="P340" s="13">
        <f t="shared" si="102"/>
        <v>0</v>
      </c>
      <c r="Q340" s="13">
        <f t="shared" si="102"/>
        <v>0</v>
      </c>
      <c r="R340" s="214"/>
      <c r="S340" s="214"/>
      <c r="T340" s="11"/>
    </row>
    <row r="341" spans="1:26" ht="12.75">
      <c r="A341" s="234"/>
      <c r="B341" s="214"/>
      <c r="C341" s="72"/>
      <c r="D341" s="72"/>
      <c r="E341" s="214"/>
      <c r="F341" s="8"/>
      <c r="G341" s="8" t="s">
        <v>61</v>
      </c>
      <c r="H341" s="13">
        <f t="shared" si="98"/>
        <v>75136.54400000001</v>
      </c>
      <c r="I341" s="13">
        <f>I305+I293+I281+I269+I317+I329</f>
        <v>22614.916</v>
      </c>
      <c r="J341" s="13">
        <f>J305+J293+J281+J269+J317+J329</f>
        <v>75136.54400000001</v>
      </c>
      <c r="K341" s="13">
        <f aca="true" t="shared" si="103" ref="K341:Q341">K305+K293+K281+K269+K317+K329</f>
        <v>22614.872000000003</v>
      </c>
      <c r="L341" s="13">
        <f t="shared" si="103"/>
        <v>0</v>
      </c>
      <c r="M341" s="13">
        <f t="shared" si="103"/>
        <v>0</v>
      </c>
      <c r="N341" s="13">
        <f t="shared" si="103"/>
        <v>0</v>
      </c>
      <c r="O341" s="13">
        <f t="shared" si="103"/>
        <v>0</v>
      </c>
      <c r="P341" s="13">
        <f t="shared" si="103"/>
        <v>0</v>
      </c>
      <c r="Q341" s="13">
        <f t="shared" si="103"/>
        <v>0</v>
      </c>
      <c r="R341" s="214"/>
      <c r="S341" s="214"/>
      <c r="T341" s="14"/>
      <c r="U341" s="14" t="s">
        <v>73</v>
      </c>
      <c r="V341" s="14" t="s">
        <v>74</v>
      </c>
      <c r="W341" s="14" t="s">
        <v>75</v>
      </c>
      <c r="X341" s="14" t="s">
        <v>77</v>
      </c>
      <c r="Y341" s="14" t="s">
        <v>78</v>
      </c>
      <c r="Z341" s="14" t="s">
        <v>79</v>
      </c>
    </row>
    <row r="342" spans="1:26" ht="12.75">
      <c r="A342" s="234"/>
      <c r="B342" s="214"/>
      <c r="C342" s="72"/>
      <c r="D342" s="72"/>
      <c r="E342" s="214"/>
      <c r="F342" s="8"/>
      <c r="G342" s="8" t="s">
        <v>110</v>
      </c>
      <c r="H342" s="13">
        <f t="shared" si="98"/>
        <v>19356.04</v>
      </c>
      <c r="I342" s="13">
        <f>K342</f>
        <v>19339</v>
      </c>
      <c r="J342" s="13">
        <f>J330+J306+J294+J282+J270</f>
        <v>19356.04</v>
      </c>
      <c r="K342" s="13">
        <f>K330+K306+K294+K270</f>
        <v>19339</v>
      </c>
      <c r="L342" s="13">
        <f aca="true" t="shared" si="104" ref="L342:Q342">L306+L294+L282+L270+L318+L330</f>
        <v>0</v>
      </c>
      <c r="M342" s="13">
        <f t="shared" si="104"/>
        <v>0</v>
      </c>
      <c r="N342" s="13">
        <f t="shared" si="104"/>
        <v>0</v>
      </c>
      <c r="O342" s="13">
        <f t="shared" si="104"/>
        <v>0</v>
      </c>
      <c r="P342" s="13">
        <f t="shared" si="104"/>
        <v>0</v>
      </c>
      <c r="Q342" s="13">
        <f t="shared" si="104"/>
        <v>0</v>
      </c>
      <c r="R342" s="214"/>
      <c r="S342" s="214"/>
      <c r="T342" s="40"/>
      <c r="U342" s="40"/>
      <c r="V342" s="40"/>
      <c r="W342" s="40"/>
      <c r="X342" s="40"/>
      <c r="Y342" s="40"/>
      <c r="Z342" s="40"/>
    </row>
    <row r="343" spans="1:26" ht="12.75">
      <c r="A343" s="234"/>
      <c r="B343" s="214"/>
      <c r="C343" s="72"/>
      <c r="D343" s="72"/>
      <c r="E343" s="214"/>
      <c r="F343" s="8"/>
      <c r="G343" s="8" t="s">
        <v>111</v>
      </c>
      <c r="H343" s="13">
        <f t="shared" si="98"/>
        <v>72485.51999999999</v>
      </c>
      <c r="I343" s="13">
        <f>I307+I295+I283+I271+I319</f>
        <v>20698.8</v>
      </c>
      <c r="J343" s="13">
        <f>J331+J307+J295+J283+J271</f>
        <v>72485.51999999999</v>
      </c>
      <c r="K343" s="13">
        <f>K307+K295+K271</f>
        <v>20698.8</v>
      </c>
      <c r="L343" s="13">
        <f aca="true" t="shared" si="105" ref="L343:Q343">L307+L295+L283+L271+L319+L331</f>
        <v>0</v>
      </c>
      <c r="M343" s="13">
        <f t="shared" si="105"/>
        <v>0</v>
      </c>
      <c r="N343" s="13">
        <f t="shared" si="105"/>
        <v>0</v>
      </c>
      <c r="O343" s="13">
        <f t="shared" si="105"/>
        <v>0</v>
      </c>
      <c r="P343" s="13">
        <f t="shared" si="105"/>
        <v>0</v>
      </c>
      <c r="Q343" s="13">
        <f t="shared" si="105"/>
        <v>0</v>
      </c>
      <c r="R343" s="214"/>
      <c r="S343" s="214"/>
      <c r="T343" s="40"/>
      <c r="U343" s="40"/>
      <c r="V343" s="40"/>
      <c r="W343" s="40"/>
      <c r="X343" s="40"/>
      <c r="Y343" s="40"/>
      <c r="Z343" s="40"/>
    </row>
    <row r="344" spans="1:26" ht="12.75">
      <c r="A344" s="234"/>
      <c r="B344" s="214"/>
      <c r="C344" s="72"/>
      <c r="D344" s="72"/>
      <c r="E344" s="214"/>
      <c r="F344" s="8"/>
      <c r="G344" s="8" t="s">
        <v>112</v>
      </c>
      <c r="H344" s="13">
        <f t="shared" si="98"/>
        <v>83497.5</v>
      </c>
      <c r="I344" s="13">
        <f>I308+I296+I284+I272+I320</f>
        <v>20698.8</v>
      </c>
      <c r="J344" s="13">
        <f aca="true" t="shared" si="106" ref="J344:Q344">J308+J296+J284+J272+J320+J332</f>
        <v>83497.5</v>
      </c>
      <c r="K344" s="13">
        <f>K308+K296+K272</f>
        <v>20698.8</v>
      </c>
      <c r="L344" s="13">
        <f t="shared" si="106"/>
        <v>0</v>
      </c>
      <c r="M344" s="13">
        <f t="shared" si="106"/>
        <v>0</v>
      </c>
      <c r="N344" s="13">
        <f t="shared" si="106"/>
        <v>0</v>
      </c>
      <c r="O344" s="13">
        <f t="shared" si="106"/>
        <v>0</v>
      </c>
      <c r="P344" s="13">
        <f t="shared" si="106"/>
        <v>0</v>
      </c>
      <c r="Q344" s="13">
        <f t="shared" si="106"/>
        <v>0</v>
      </c>
      <c r="R344" s="214"/>
      <c r="S344" s="214"/>
      <c r="T344" s="40"/>
      <c r="U344" s="40"/>
      <c r="V344" s="40"/>
      <c r="W344" s="40"/>
      <c r="X344" s="40"/>
      <c r="Y344" s="40"/>
      <c r="Z344" s="40"/>
    </row>
    <row r="345" spans="1:26" ht="12.75">
      <c r="A345" s="234"/>
      <c r="B345" s="214"/>
      <c r="C345" s="72"/>
      <c r="D345" s="72"/>
      <c r="E345" s="214"/>
      <c r="F345" s="8"/>
      <c r="G345" s="8" t="s">
        <v>113</v>
      </c>
      <c r="H345" s="13">
        <f t="shared" si="98"/>
        <v>83497.5</v>
      </c>
      <c r="I345" s="13">
        <f>I309+I297+I285+I273+I321</f>
        <v>0</v>
      </c>
      <c r="J345" s="13">
        <f aca="true" t="shared" si="107" ref="J345:Q345">J309+J297+J285+J273+J321+J333</f>
        <v>83497.5</v>
      </c>
      <c r="K345" s="13">
        <f t="shared" si="107"/>
        <v>0</v>
      </c>
      <c r="L345" s="13">
        <f t="shared" si="107"/>
        <v>0</v>
      </c>
      <c r="M345" s="13">
        <f t="shared" si="107"/>
        <v>0</v>
      </c>
      <c r="N345" s="13">
        <f t="shared" si="107"/>
        <v>0</v>
      </c>
      <c r="O345" s="13">
        <f t="shared" si="107"/>
        <v>0</v>
      </c>
      <c r="P345" s="13">
        <f t="shared" si="107"/>
        <v>0</v>
      </c>
      <c r="Q345" s="13">
        <f t="shared" si="107"/>
        <v>0</v>
      </c>
      <c r="R345" s="214"/>
      <c r="S345" s="214"/>
      <c r="T345" s="40"/>
      <c r="U345" s="40"/>
      <c r="V345" s="40"/>
      <c r="W345" s="40"/>
      <c r="X345" s="40"/>
      <c r="Y345" s="40"/>
      <c r="Z345" s="40"/>
    </row>
    <row r="346" spans="1:26" ht="12.75">
      <c r="A346" s="234"/>
      <c r="B346" s="214"/>
      <c r="C346" s="72"/>
      <c r="D346" s="72"/>
      <c r="E346" s="214"/>
      <c r="F346" s="8"/>
      <c r="G346" s="8" t="s">
        <v>72</v>
      </c>
      <c r="H346" s="13">
        <f t="shared" si="98"/>
        <v>83824.9</v>
      </c>
      <c r="I346" s="13">
        <f>I310+I298+I286+I274+I322</f>
        <v>0</v>
      </c>
      <c r="J346" s="13">
        <f aca="true" t="shared" si="108" ref="J346:Q346">J310+J298+J286+J274+J322+J334</f>
        <v>83824.9</v>
      </c>
      <c r="K346" s="13">
        <f t="shared" si="108"/>
        <v>0</v>
      </c>
      <c r="L346" s="13">
        <f t="shared" si="108"/>
        <v>0</v>
      </c>
      <c r="M346" s="13">
        <f t="shared" si="108"/>
        <v>0</v>
      </c>
      <c r="N346" s="13">
        <f t="shared" si="108"/>
        <v>0</v>
      </c>
      <c r="O346" s="13">
        <f t="shared" si="108"/>
        <v>0</v>
      </c>
      <c r="P346" s="13">
        <f t="shared" si="108"/>
        <v>0</v>
      </c>
      <c r="Q346" s="13">
        <f t="shared" si="108"/>
        <v>0</v>
      </c>
      <c r="R346" s="214"/>
      <c r="S346" s="214"/>
      <c r="T346" s="40"/>
      <c r="U346" s="40"/>
      <c r="V346" s="40"/>
      <c r="W346" s="40"/>
      <c r="X346" s="40"/>
      <c r="Y346" s="40"/>
      <c r="Z346" s="40"/>
    </row>
    <row r="347" spans="1:27" ht="13.5">
      <c r="A347" s="154" t="s">
        <v>46</v>
      </c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6"/>
      <c r="T347" s="16"/>
      <c r="U347" s="16" t="s">
        <v>85</v>
      </c>
      <c r="V347" s="16" t="s">
        <v>86</v>
      </c>
      <c r="W347" s="16" t="s">
        <v>94</v>
      </c>
      <c r="X347" s="16" t="s">
        <v>89</v>
      </c>
      <c r="Y347" s="16" t="s">
        <v>95</v>
      </c>
      <c r="Z347" s="16" t="s">
        <v>91</v>
      </c>
      <c r="AA347" s="11">
        <f>AA313+AA301+AA289+AA277+AA266+AA157+AA132+AA60+AA49</f>
        <v>7803450.28</v>
      </c>
    </row>
    <row r="348" spans="1:27" ht="12.75" customHeight="1">
      <c r="A348" s="163">
        <v>26</v>
      </c>
      <c r="B348" s="219" t="s">
        <v>34</v>
      </c>
      <c r="C348" s="114"/>
      <c r="D348" s="114"/>
      <c r="E348" s="144" t="s">
        <v>50</v>
      </c>
      <c r="F348" s="8"/>
      <c r="G348" s="41" t="s">
        <v>9</v>
      </c>
      <c r="H348" s="10">
        <f aca="true" t="shared" si="109" ref="H348:Q348">SUM(H349:H359)</f>
        <v>73309.2</v>
      </c>
      <c r="I348" s="10">
        <f t="shared" si="109"/>
        <v>12280.600000000002</v>
      </c>
      <c r="J348" s="10">
        <f t="shared" si="109"/>
        <v>73309.2</v>
      </c>
      <c r="K348" s="10">
        <f t="shared" si="109"/>
        <v>12280.600000000002</v>
      </c>
      <c r="L348" s="10">
        <f t="shared" si="109"/>
        <v>0</v>
      </c>
      <c r="M348" s="10">
        <f t="shared" si="109"/>
        <v>0</v>
      </c>
      <c r="N348" s="10">
        <f t="shared" si="109"/>
        <v>0</v>
      </c>
      <c r="O348" s="10">
        <f t="shared" si="109"/>
        <v>0</v>
      </c>
      <c r="P348" s="10">
        <f t="shared" si="109"/>
        <v>0</v>
      </c>
      <c r="Q348" s="10">
        <f t="shared" si="109"/>
        <v>0</v>
      </c>
      <c r="R348" s="222" t="s">
        <v>36</v>
      </c>
      <c r="S348" s="223"/>
      <c r="T348" s="16"/>
      <c r="U348" s="16" t="s">
        <v>85</v>
      </c>
      <c r="V348" s="16" t="s">
        <v>86</v>
      </c>
      <c r="W348" s="16" t="s">
        <v>97</v>
      </c>
      <c r="X348" s="16" t="s">
        <v>100</v>
      </c>
      <c r="Y348" s="16" t="s">
        <v>95</v>
      </c>
      <c r="Z348" s="16" t="s">
        <v>91</v>
      </c>
      <c r="AA348" s="11">
        <f>AA314+AA302+AA290+AA278+AA267+AA158+AA133+AA61+AA50</f>
        <v>550001</v>
      </c>
    </row>
    <row r="349" spans="1:27" ht="26.25">
      <c r="A349" s="164"/>
      <c r="B349" s="220"/>
      <c r="C349" s="113"/>
      <c r="D349" s="113"/>
      <c r="E349" s="145"/>
      <c r="F349" s="8" t="s">
        <v>18</v>
      </c>
      <c r="G349" s="42" t="s">
        <v>13</v>
      </c>
      <c r="H349" s="13">
        <f aca="true" t="shared" si="110" ref="H349:I359">J349+L349+N349+P349</f>
        <v>7867.5</v>
      </c>
      <c r="I349" s="13">
        <f t="shared" si="110"/>
        <v>3026.2</v>
      </c>
      <c r="J349" s="13">
        <v>7867.5</v>
      </c>
      <c r="K349" s="13">
        <v>3026.2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224"/>
      <c r="S349" s="225"/>
      <c r="T349" s="16"/>
      <c r="U349" s="16" t="s">
        <v>85</v>
      </c>
      <c r="V349" s="16" t="s">
        <v>86</v>
      </c>
      <c r="W349" s="16" t="s">
        <v>97</v>
      </c>
      <c r="X349" s="16" t="s">
        <v>101</v>
      </c>
      <c r="Y349" s="16" t="s">
        <v>95</v>
      </c>
      <c r="Z349" s="16" t="s">
        <v>91</v>
      </c>
      <c r="AA349" s="11">
        <f>AA315+AA303+AA291+AA279+AA268+AA159+AA134+AA62+AA51</f>
        <v>10000001</v>
      </c>
    </row>
    <row r="350" spans="1:27" ht="12.75">
      <c r="A350" s="164"/>
      <c r="B350" s="220"/>
      <c r="C350" s="113"/>
      <c r="D350" s="113"/>
      <c r="E350" s="145"/>
      <c r="F350" s="8"/>
      <c r="G350" s="42" t="s">
        <v>11</v>
      </c>
      <c r="H350" s="13">
        <f t="shared" si="110"/>
        <v>8450.2</v>
      </c>
      <c r="I350" s="13">
        <f t="shared" si="110"/>
        <v>2399</v>
      </c>
      <c r="J350" s="13">
        <v>8450.2</v>
      </c>
      <c r="K350" s="20">
        <v>2399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224"/>
      <c r="S350" s="225"/>
      <c r="T350" s="16"/>
      <c r="U350" s="16" t="s">
        <v>85</v>
      </c>
      <c r="V350" s="16" t="s">
        <v>102</v>
      </c>
      <c r="W350" s="16" t="s">
        <v>103</v>
      </c>
      <c r="X350" s="16" t="s">
        <v>104</v>
      </c>
      <c r="Y350" s="16" t="s">
        <v>95</v>
      </c>
      <c r="Z350" s="16" t="s">
        <v>91</v>
      </c>
      <c r="AA350" s="11">
        <f>AA316+AA304+AA292+AA280+AA269+AA160+AA135+AA63+AA52</f>
        <v>1431001</v>
      </c>
    </row>
    <row r="351" spans="1:20" ht="12.75">
      <c r="A351" s="164"/>
      <c r="B351" s="220"/>
      <c r="C351" s="113"/>
      <c r="D351" s="113"/>
      <c r="E351" s="145"/>
      <c r="F351" s="8"/>
      <c r="G351" s="42" t="s">
        <v>12</v>
      </c>
      <c r="H351" s="13">
        <f t="shared" si="110"/>
        <v>9072.5</v>
      </c>
      <c r="I351" s="13">
        <f t="shared" si="110"/>
        <v>1054.1</v>
      </c>
      <c r="J351" s="21">
        <v>9072.5</v>
      </c>
      <c r="K351" s="13">
        <f>2218.6-1000-164.5</f>
        <v>1054.1</v>
      </c>
      <c r="L351" s="22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224"/>
      <c r="S351" s="225"/>
      <c r="T351" s="11"/>
    </row>
    <row r="352" spans="1:20" ht="12.75">
      <c r="A352" s="164"/>
      <c r="B352" s="220"/>
      <c r="C352" s="113"/>
      <c r="D352" s="113"/>
      <c r="E352" s="145"/>
      <c r="F352" s="8"/>
      <c r="G352" s="42" t="s">
        <v>14</v>
      </c>
      <c r="H352" s="13">
        <f t="shared" si="110"/>
        <v>9718.6</v>
      </c>
      <c r="I352" s="13">
        <f t="shared" si="110"/>
        <v>1420.6</v>
      </c>
      <c r="J352" s="21">
        <v>9718.6</v>
      </c>
      <c r="K352" s="13">
        <f>1800-379.4</f>
        <v>1420.6</v>
      </c>
      <c r="L352" s="22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224"/>
      <c r="S352" s="225"/>
      <c r="T352" s="11"/>
    </row>
    <row r="353" spans="1:20" ht="12.75">
      <c r="A353" s="164"/>
      <c r="B353" s="220"/>
      <c r="C353" s="113"/>
      <c r="D353" s="113"/>
      <c r="E353" s="145"/>
      <c r="F353" s="8"/>
      <c r="G353" s="42" t="s">
        <v>15</v>
      </c>
      <c r="H353" s="13">
        <f t="shared" si="110"/>
        <v>10387.1</v>
      </c>
      <c r="I353" s="13">
        <f t="shared" si="110"/>
        <v>1119.2</v>
      </c>
      <c r="J353" s="21">
        <v>10387.1</v>
      </c>
      <c r="K353" s="13">
        <v>1119.2</v>
      </c>
      <c r="L353" s="22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224"/>
      <c r="S353" s="225"/>
      <c r="T353" s="11"/>
    </row>
    <row r="354" spans="1:20" ht="12.75">
      <c r="A354" s="164"/>
      <c r="B354" s="220"/>
      <c r="C354" s="113" t="s">
        <v>163</v>
      </c>
      <c r="D354" s="113" t="s">
        <v>164</v>
      </c>
      <c r="E354" s="145"/>
      <c r="F354" s="8"/>
      <c r="G354" s="12" t="s">
        <v>61</v>
      </c>
      <c r="H354" s="13">
        <f t="shared" si="110"/>
        <v>1590.2</v>
      </c>
      <c r="I354" s="13">
        <f t="shared" si="110"/>
        <v>0</v>
      </c>
      <c r="J354" s="13">
        <v>1590.2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224"/>
      <c r="S354" s="225"/>
      <c r="T354" s="11"/>
    </row>
    <row r="355" spans="1:20" ht="12.75">
      <c r="A355" s="164"/>
      <c r="B355" s="220"/>
      <c r="C355" s="113"/>
      <c r="D355" s="113"/>
      <c r="E355" s="145"/>
      <c r="F355" s="8"/>
      <c r="G355" s="118" t="s">
        <v>110</v>
      </c>
      <c r="H355" s="119">
        <f>J355+L355+N355+P355</f>
        <v>1023.1</v>
      </c>
      <c r="I355" s="119">
        <f t="shared" si="110"/>
        <v>1023.1</v>
      </c>
      <c r="J355" s="119">
        <f>K355</f>
        <v>1023.1</v>
      </c>
      <c r="K355" s="119">
        <v>1023.1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224"/>
      <c r="S355" s="225"/>
      <c r="T355" s="11"/>
    </row>
    <row r="356" spans="1:20" ht="12.75">
      <c r="A356" s="164"/>
      <c r="B356" s="220"/>
      <c r="C356" s="113"/>
      <c r="D356" s="113"/>
      <c r="E356" s="145"/>
      <c r="F356" s="8"/>
      <c r="G356" s="118" t="s">
        <v>111</v>
      </c>
      <c r="H356" s="119">
        <f>J356+L356+N356+P356</f>
        <v>8400</v>
      </c>
      <c r="I356" s="119">
        <f t="shared" si="110"/>
        <v>1119.2</v>
      </c>
      <c r="J356" s="119">
        <v>8400</v>
      </c>
      <c r="K356" s="119">
        <v>1119.2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224"/>
      <c r="S356" s="225"/>
      <c r="T356" s="11"/>
    </row>
    <row r="357" spans="1:20" ht="12.75">
      <c r="A357" s="164"/>
      <c r="B357" s="220"/>
      <c r="C357" s="113"/>
      <c r="D357" s="113"/>
      <c r="E357" s="145"/>
      <c r="F357" s="8"/>
      <c r="G357" s="118" t="s">
        <v>112</v>
      </c>
      <c r="H357" s="119">
        <f>J357+L357+N357+P357</f>
        <v>8400</v>
      </c>
      <c r="I357" s="119">
        <f>K357+M357+O357+Q357</f>
        <v>1119.2</v>
      </c>
      <c r="J357" s="119">
        <v>8400</v>
      </c>
      <c r="K357" s="119">
        <v>1119.2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224"/>
      <c r="S357" s="225"/>
      <c r="T357" s="11"/>
    </row>
    <row r="358" spans="1:20" ht="12.75">
      <c r="A358" s="164"/>
      <c r="B358" s="220"/>
      <c r="C358" s="113"/>
      <c r="D358" s="113"/>
      <c r="E358" s="145"/>
      <c r="F358" s="8"/>
      <c r="G358" s="125" t="s">
        <v>113</v>
      </c>
      <c r="H358" s="119">
        <f>J358+L358+N358+P358</f>
        <v>8400</v>
      </c>
      <c r="I358" s="119">
        <f t="shared" si="110"/>
        <v>0</v>
      </c>
      <c r="J358" s="119">
        <v>8400</v>
      </c>
      <c r="K358" s="119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224"/>
      <c r="S358" s="225"/>
      <c r="T358" s="11"/>
    </row>
    <row r="359" spans="1:20" ht="12.75">
      <c r="A359" s="165"/>
      <c r="B359" s="221"/>
      <c r="C359" s="115"/>
      <c r="D359" s="115"/>
      <c r="E359" s="146"/>
      <c r="F359" s="8"/>
      <c r="G359" s="42" t="s">
        <v>72</v>
      </c>
      <c r="H359" s="13">
        <f>J359+L359+N359+P359</f>
        <v>0</v>
      </c>
      <c r="I359" s="13">
        <f t="shared" si="110"/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226"/>
      <c r="S359" s="227"/>
      <c r="T359" s="11"/>
    </row>
    <row r="360" spans="1:20" ht="12.75" customHeight="1">
      <c r="A360" s="163">
        <v>27</v>
      </c>
      <c r="B360" s="144" t="s">
        <v>45</v>
      </c>
      <c r="C360" s="69"/>
      <c r="D360" s="69"/>
      <c r="E360" s="144" t="s">
        <v>51</v>
      </c>
      <c r="F360" s="8"/>
      <c r="G360" s="41" t="s">
        <v>9</v>
      </c>
      <c r="H360" s="10">
        <f aca="true" t="shared" si="111" ref="H360:Q360">SUM(H361:H371)</f>
        <v>5723.5</v>
      </c>
      <c r="I360" s="10">
        <f t="shared" si="111"/>
        <v>5723.5</v>
      </c>
      <c r="J360" s="10">
        <f t="shared" si="111"/>
        <v>1144.7</v>
      </c>
      <c r="K360" s="10">
        <f t="shared" si="111"/>
        <v>1144.7</v>
      </c>
      <c r="L360" s="10">
        <f t="shared" si="111"/>
        <v>0</v>
      </c>
      <c r="M360" s="10">
        <f t="shared" si="111"/>
        <v>0</v>
      </c>
      <c r="N360" s="10">
        <f t="shared" si="111"/>
        <v>4578.8</v>
      </c>
      <c r="O360" s="10">
        <f t="shared" si="111"/>
        <v>4578.8</v>
      </c>
      <c r="P360" s="10">
        <f t="shared" si="111"/>
        <v>0</v>
      </c>
      <c r="Q360" s="10">
        <f t="shared" si="111"/>
        <v>0</v>
      </c>
      <c r="R360" s="157" t="s">
        <v>36</v>
      </c>
      <c r="S360" s="158"/>
      <c r="T360" s="11"/>
    </row>
    <row r="361" spans="1:22" ht="26.25">
      <c r="A361" s="164"/>
      <c r="B361" s="145"/>
      <c r="C361" s="70"/>
      <c r="D361" s="70"/>
      <c r="E361" s="145"/>
      <c r="F361" s="8" t="s">
        <v>44</v>
      </c>
      <c r="G361" s="42" t="s">
        <v>13</v>
      </c>
      <c r="H361" s="13">
        <f aca="true" t="shared" si="112" ref="H361:I366">J361+L361+N361+P361</f>
        <v>3085.5</v>
      </c>
      <c r="I361" s="13">
        <f t="shared" si="112"/>
        <v>3085.5</v>
      </c>
      <c r="J361" s="13">
        <v>617.1</v>
      </c>
      <c r="K361" s="13">
        <v>617.1</v>
      </c>
      <c r="L361" s="13">
        <v>0</v>
      </c>
      <c r="M361" s="13">
        <v>0</v>
      </c>
      <c r="N361" s="13">
        <v>2468.4</v>
      </c>
      <c r="O361" s="13">
        <v>2468.4</v>
      </c>
      <c r="P361" s="13">
        <v>0</v>
      </c>
      <c r="Q361" s="13">
        <v>0</v>
      </c>
      <c r="R361" s="159"/>
      <c r="S361" s="160"/>
      <c r="T361" s="11"/>
      <c r="V361" s="6"/>
    </row>
    <row r="362" spans="1:20" ht="12.75">
      <c r="A362" s="164"/>
      <c r="B362" s="145"/>
      <c r="C362" s="70"/>
      <c r="D362" s="70"/>
      <c r="E362" s="145"/>
      <c r="F362" s="8"/>
      <c r="G362" s="42" t="s">
        <v>11</v>
      </c>
      <c r="H362" s="13">
        <f t="shared" si="112"/>
        <v>2638</v>
      </c>
      <c r="I362" s="13">
        <f t="shared" si="112"/>
        <v>2638</v>
      </c>
      <c r="J362" s="13">
        <v>527.6</v>
      </c>
      <c r="K362" s="13">
        <v>527.6</v>
      </c>
      <c r="L362" s="13">
        <v>0</v>
      </c>
      <c r="M362" s="13">
        <v>0</v>
      </c>
      <c r="N362" s="13">
        <v>2110.4</v>
      </c>
      <c r="O362" s="13">
        <v>2110.4</v>
      </c>
      <c r="P362" s="13">
        <v>0</v>
      </c>
      <c r="Q362" s="13">
        <v>0</v>
      </c>
      <c r="R362" s="159"/>
      <c r="S362" s="160"/>
      <c r="T362" s="11"/>
    </row>
    <row r="363" spans="1:20" ht="12.75">
      <c r="A363" s="164"/>
      <c r="B363" s="145"/>
      <c r="C363" s="70"/>
      <c r="D363" s="70"/>
      <c r="E363" s="145"/>
      <c r="F363" s="8"/>
      <c r="G363" s="42" t="s">
        <v>12</v>
      </c>
      <c r="H363" s="13">
        <f t="shared" si="112"/>
        <v>0</v>
      </c>
      <c r="I363" s="13">
        <f t="shared" si="112"/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59"/>
      <c r="S363" s="160"/>
      <c r="T363" s="11"/>
    </row>
    <row r="364" spans="1:20" ht="12.75">
      <c r="A364" s="164"/>
      <c r="B364" s="145"/>
      <c r="C364" s="88"/>
      <c r="D364" s="88"/>
      <c r="E364" s="145"/>
      <c r="F364" s="8"/>
      <c r="G364" s="42" t="s">
        <v>14</v>
      </c>
      <c r="H364" s="13">
        <f t="shared" si="112"/>
        <v>0</v>
      </c>
      <c r="I364" s="13">
        <f t="shared" si="112"/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59"/>
      <c r="S364" s="160"/>
      <c r="T364" s="11"/>
    </row>
    <row r="365" spans="1:20" ht="12.75">
      <c r="A365" s="164"/>
      <c r="B365" s="145"/>
      <c r="C365" s="70"/>
      <c r="D365" s="70"/>
      <c r="E365" s="145"/>
      <c r="F365" s="8"/>
      <c r="G365" s="42" t="s">
        <v>15</v>
      </c>
      <c r="H365" s="13">
        <f t="shared" si="112"/>
        <v>0</v>
      </c>
      <c r="I365" s="13">
        <f t="shared" si="112"/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59"/>
      <c r="S365" s="160"/>
      <c r="T365" s="11"/>
    </row>
    <row r="366" spans="1:20" ht="12.75">
      <c r="A366" s="164"/>
      <c r="B366" s="145"/>
      <c r="C366" s="70"/>
      <c r="D366" s="70"/>
      <c r="E366" s="145"/>
      <c r="F366" s="8"/>
      <c r="G366" s="12" t="s">
        <v>61</v>
      </c>
      <c r="H366" s="13">
        <f t="shared" si="112"/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59"/>
      <c r="S366" s="160"/>
      <c r="T366" s="11"/>
    </row>
    <row r="367" spans="1:20" ht="12.75">
      <c r="A367" s="164"/>
      <c r="B367" s="145"/>
      <c r="C367" s="70"/>
      <c r="D367" s="70"/>
      <c r="E367" s="145"/>
      <c r="F367" s="8"/>
      <c r="G367" s="42" t="s">
        <v>110</v>
      </c>
      <c r="H367" s="13">
        <f>J367+L367+N367+P367</f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59"/>
      <c r="S367" s="160"/>
      <c r="T367" s="11"/>
    </row>
    <row r="368" spans="1:20" ht="12.75">
      <c r="A368" s="164"/>
      <c r="B368" s="145"/>
      <c r="C368" s="70"/>
      <c r="D368" s="70"/>
      <c r="E368" s="145"/>
      <c r="F368" s="8"/>
      <c r="G368" s="42" t="s">
        <v>111</v>
      </c>
      <c r="H368" s="13">
        <f>J368+L368+N368+P368</f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59"/>
      <c r="S368" s="160"/>
      <c r="T368" s="11">
        <f>10700165+3497514.61+3710113</f>
        <v>17907792.61</v>
      </c>
    </row>
    <row r="369" spans="1:20" ht="12.75">
      <c r="A369" s="164"/>
      <c r="B369" s="145"/>
      <c r="C369" s="70"/>
      <c r="D369" s="70"/>
      <c r="E369" s="145"/>
      <c r="F369" s="8"/>
      <c r="G369" s="42" t="s">
        <v>112</v>
      </c>
      <c r="H369" s="13">
        <f>J369+L369+N369+P369</f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59"/>
      <c r="S369" s="160"/>
      <c r="T369" s="11">
        <v>8400000</v>
      </c>
    </row>
    <row r="370" spans="1:20" ht="12.75">
      <c r="A370" s="164"/>
      <c r="B370" s="145"/>
      <c r="C370" s="70"/>
      <c r="D370" s="70"/>
      <c r="E370" s="145"/>
      <c r="F370" s="8"/>
      <c r="G370" s="42" t="s">
        <v>113</v>
      </c>
      <c r="H370" s="13">
        <f>J370+L370+N370+P370</f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59"/>
      <c r="S370" s="160"/>
      <c r="T370" s="11"/>
    </row>
    <row r="371" spans="1:20" ht="68.25" customHeight="1">
      <c r="A371" s="165"/>
      <c r="B371" s="146"/>
      <c r="C371" s="71"/>
      <c r="D371" s="71"/>
      <c r="E371" s="146"/>
      <c r="F371" s="8"/>
      <c r="G371" s="43" t="s">
        <v>72</v>
      </c>
      <c r="H371" s="44">
        <f>J371+L371+N371+P371</f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161"/>
      <c r="S371" s="162"/>
      <c r="T371" s="11"/>
    </row>
    <row r="372" spans="1:20" ht="12.75" customHeight="1">
      <c r="A372" s="163">
        <v>28</v>
      </c>
      <c r="B372" s="144" t="s">
        <v>48</v>
      </c>
      <c r="C372" s="69"/>
      <c r="D372" s="69"/>
      <c r="E372" s="144" t="s">
        <v>51</v>
      </c>
      <c r="F372" s="8"/>
      <c r="G372" s="41" t="s">
        <v>9</v>
      </c>
      <c r="H372" s="10">
        <f aca="true" t="shared" si="113" ref="H372:Q372">SUM(H373:H383)</f>
        <v>3122.1</v>
      </c>
      <c r="I372" s="10">
        <f t="shared" si="113"/>
        <v>3122.1</v>
      </c>
      <c r="J372" s="10">
        <f t="shared" si="113"/>
        <v>1561.1</v>
      </c>
      <c r="K372" s="10">
        <f t="shared" si="113"/>
        <v>1561.1</v>
      </c>
      <c r="L372" s="10">
        <f t="shared" si="113"/>
        <v>0</v>
      </c>
      <c r="M372" s="10">
        <f t="shared" si="113"/>
        <v>0</v>
      </c>
      <c r="N372" s="10">
        <f t="shared" si="113"/>
        <v>1561</v>
      </c>
      <c r="O372" s="10">
        <f t="shared" si="113"/>
        <v>1561</v>
      </c>
      <c r="P372" s="10">
        <f t="shared" si="113"/>
        <v>0</v>
      </c>
      <c r="Q372" s="10">
        <f t="shared" si="113"/>
        <v>0</v>
      </c>
      <c r="R372" s="157" t="s">
        <v>36</v>
      </c>
      <c r="S372" s="158"/>
      <c r="T372" s="11"/>
    </row>
    <row r="373" spans="1:20" ht="12.75">
      <c r="A373" s="164"/>
      <c r="B373" s="145"/>
      <c r="C373" s="70"/>
      <c r="D373" s="70"/>
      <c r="E373" s="145"/>
      <c r="F373" s="8"/>
      <c r="G373" s="42" t="s">
        <v>13</v>
      </c>
      <c r="H373" s="13">
        <f aca="true" t="shared" si="114" ref="H373:I377">J373+L373+N373+P373</f>
        <v>0</v>
      </c>
      <c r="I373" s="13">
        <f t="shared" si="114"/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59"/>
      <c r="S373" s="160"/>
      <c r="T373" s="11"/>
    </row>
    <row r="374" spans="1:20" ht="12.75">
      <c r="A374" s="164"/>
      <c r="B374" s="145"/>
      <c r="C374" s="70"/>
      <c r="D374" s="70"/>
      <c r="E374" s="145"/>
      <c r="F374" s="8"/>
      <c r="G374" s="42" t="s">
        <v>11</v>
      </c>
      <c r="H374" s="13">
        <f t="shared" si="114"/>
        <v>3122.1</v>
      </c>
      <c r="I374" s="13">
        <f t="shared" si="114"/>
        <v>3122.1</v>
      </c>
      <c r="J374" s="13">
        <v>1561.1</v>
      </c>
      <c r="K374" s="13">
        <v>1561.1</v>
      </c>
      <c r="L374" s="13">
        <v>0</v>
      </c>
      <c r="M374" s="13">
        <v>0</v>
      </c>
      <c r="N374" s="13">
        <v>1561</v>
      </c>
      <c r="O374" s="13">
        <v>1561</v>
      </c>
      <c r="P374" s="13">
        <v>0</v>
      </c>
      <c r="Q374" s="13">
        <v>0</v>
      </c>
      <c r="R374" s="159"/>
      <c r="S374" s="160"/>
      <c r="T374" s="11"/>
    </row>
    <row r="375" spans="1:20" ht="12.75">
      <c r="A375" s="164"/>
      <c r="B375" s="145"/>
      <c r="C375" s="70"/>
      <c r="D375" s="70"/>
      <c r="E375" s="145"/>
      <c r="F375" s="8"/>
      <c r="G375" s="42" t="s">
        <v>12</v>
      </c>
      <c r="H375" s="13">
        <f t="shared" si="114"/>
        <v>0</v>
      </c>
      <c r="I375" s="13">
        <f t="shared" si="114"/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59"/>
      <c r="S375" s="160"/>
      <c r="T375" s="11"/>
    </row>
    <row r="376" spans="1:20" ht="12.75">
      <c r="A376" s="164"/>
      <c r="B376" s="145"/>
      <c r="C376" s="70"/>
      <c r="D376" s="70"/>
      <c r="E376" s="145"/>
      <c r="F376" s="8"/>
      <c r="G376" s="42" t="s">
        <v>14</v>
      </c>
      <c r="H376" s="13">
        <f t="shared" si="114"/>
        <v>0</v>
      </c>
      <c r="I376" s="13">
        <f t="shared" si="114"/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59"/>
      <c r="S376" s="160"/>
      <c r="T376" s="11"/>
    </row>
    <row r="377" spans="1:23" ht="12.75">
      <c r="A377" s="164"/>
      <c r="B377" s="145"/>
      <c r="C377" s="88"/>
      <c r="D377" s="88"/>
      <c r="E377" s="145"/>
      <c r="F377" s="8"/>
      <c r="G377" s="42" t="s">
        <v>15</v>
      </c>
      <c r="H377" s="13">
        <f t="shared" si="114"/>
        <v>0</v>
      </c>
      <c r="I377" s="13">
        <f t="shared" si="114"/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59"/>
      <c r="S377" s="160"/>
      <c r="T377" s="11"/>
      <c r="W377" s="2" t="s">
        <v>117</v>
      </c>
    </row>
    <row r="378" spans="1:25" ht="12.75">
      <c r="A378" s="164"/>
      <c r="B378" s="145"/>
      <c r="C378" s="70"/>
      <c r="D378" s="70"/>
      <c r="E378" s="145"/>
      <c r="F378" s="8"/>
      <c r="G378" s="12" t="s">
        <v>61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59"/>
      <c r="S378" s="160"/>
      <c r="T378" s="11"/>
      <c r="W378" s="42" t="s">
        <v>13</v>
      </c>
      <c r="X378" s="6">
        <f aca="true" t="shared" si="115" ref="X378:X388">H312+H300+H288+H276+H264+H155+H131+H107+H59+H47</f>
        <v>49277.8</v>
      </c>
      <c r="Y378" s="6">
        <f aca="true" t="shared" si="116" ref="Y378:Y388">I312+I300+I288+I276+I264+I155+I131+I107+I59+I47</f>
        <v>29426.3</v>
      </c>
    </row>
    <row r="379" spans="1:25" ht="12.75">
      <c r="A379" s="164"/>
      <c r="B379" s="145"/>
      <c r="C379" s="70"/>
      <c r="D379" s="70"/>
      <c r="E379" s="145"/>
      <c r="F379" s="8"/>
      <c r="G379" s="42" t="s">
        <v>110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59"/>
      <c r="S379" s="160"/>
      <c r="T379" s="11"/>
      <c r="W379" s="42" t="s">
        <v>11</v>
      </c>
      <c r="X379" s="6">
        <f t="shared" si="115"/>
        <v>53063.7</v>
      </c>
      <c r="Y379" s="6">
        <f t="shared" si="116"/>
        <v>31141.999999999996</v>
      </c>
    </row>
    <row r="380" spans="1:25" ht="12.75">
      <c r="A380" s="164"/>
      <c r="B380" s="145"/>
      <c r="C380" s="70"/>
      <c r="D380" s="70"/>
      <c r="E380" s="145"/>
      <c r="F380" s="8"/>
      <c r="G380" s="42" t="s">
        <v>111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59"/>
      <c r="S380" s="160"/>
      <c r="T380" s="11"/>
      <c r="W380" s="42" t="s">
        <v>12</v>
      </c>
      <c r="X380" s="6">
        <f t="shared" si="115"/>
        <v>57034.9</v>
      </c>
      <c r="Y380" s="6">
        <f t="shared" si="116"/>
        <v>25933.399999999998</v>
      </c>
    </row>
    <row r="381" spans="1:25" ht="12.75">
      <c r="A381" s="164"/>
      <c r="B381" s="145"/>
      <c r="C381" s="70"/>
      <c r="D381" s="70"/>
      <c r="E381" s="145"/>
      <c r="F381" s="8"/>
      <c r="G381" s="42" t="s">
        <v>112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59"/>
      <c r="S381" s="160"/>
      <c r="T381" s="11"/>
      <c r="W381" s="42" t="s">
        <v>14</v>
      </c>
      <c r="X381" s="6">
        <f t="shared" si="115"/>
        <v>71557.7</v>
      </c>
      <c r="Y381" s="6">
        <f t="shared" si="116"/>
        <v>39708.899999999994</v>
      </c>
    </row>
    <row r="382" spans="1:25" ht="12.75">
      <c r="A382" s="164"/>
      <c r="B382" s="145"/>
      <c r="C382" s="70"/>
      <c r="D382" s="70"/>
      <c r="E382" s="145"/>
      <c r="F382" s="8"/>
      <c r="G382" s="12" t="s">
        <v>113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59"/>
      <c r="S382" s="160"/>
      <c r="T382" s="11"/>
      <c r="W382" s="42" t="s">
        <v>15</v>
      </c>
      <c r="X382" s="6">
        <f t="shared" si="115"/>
        <v>70331.80000000002</v>
      </c>
      <c r="Y382" s="6">
        <f t="shared" si="116"/>
        <v>33784.3</v>
      </c>
    </row>
    <row r="383" spans="1:25" ht="12.75">
      <c r="A383" s="165"/>
      <c r="B383" s="146"/>
      <c r="C383" s="71"/>
      <c r="D383" s="71"/>
      <c r="E383" s="146"/>
      <c r="F383" s="8"/>
      <c r="G383" s="42" t="s">
        <v>72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61"/>
      <c r="S383" s="162"/>
      <c r="T383" s="11"/>
      <c r="W383" s="12" t="s">
        <v>61</v>
      </c>
      <c r="X383" s="6">
        <f t="shared" si="115"/>
        <v>86822.90000000001</v>
      </c>
      <c r="Y383" s="6">
        <f t="shared" si="116"/>
        <v>29649.25993</v>
      </c>
    </row>
    <row r="384" spans="1:25" ht="12.75" customHeight="1">
      <c r="A384" s="163">
        <v>29</v>
      </c>
      <c r="B384" s="144" t="s">
        <v>54</v>
      </c>
      <c r="C384" s="69"/>
      <c r="D384" s="69"/>
      <c r="E384" s="144" t="s">
        <v>60</v>
      </c>
      <c r="F384" s="8"/>
      <c r="G384" s="41" t="s">
        <v>9</v>
      </c>
      <c r="H384" s="10">
        <f aca="true" t="shared" si="117" ref="H384:Q384">SUM(H385:H395)</f>
        <v>1533.2</v>
      </c>
      <c r="I384" s="10">
        <f t="shared" si="117"/>
        <v>1533.2</v>
      </c>
      <c r="J384" s="10">
        <f t="shared" si="117"/>
        <v>383.20000000000005</v>
      </c>
      <c r="K384" s="10">
        <f t="shared" si="117"/>
        <v>383.20000000000005</v>
      </c>
      <c r="L384" s="10">
        <f t="shared" si="117"/>
        <v>0</v>
      </c>
      <c r="M384" s="10">
        <f t="shared" si="117"/>
        <v>0</v>
      </c>
      <c r="N384" s="10">
        <f t="shared" si="117"/>
        <v>1150</v>
      </c>
      <c r="O384" s="10">
        <f t="shared" si="117"/>
        <v>1150</v>
      </c>
      <c r="P384" s="10">
        <f t="shared" si="117"/>
        <v>0</v>
      </c>
      <c r="Q384" s="10">
        <f t="shared" si="117"/>
        <v>0</v>
      </c>
      <c r="R384" s="157" t="s">
        <v>36</v>
      </c>
      <c r="S384" s="158"/>
      <c r="T384" s="11"/>
      <c r="W384" s="42" t="s">
        <v>110</v>
      </c>
      <c r="X384" s="6">
        <f t="shared" si="115"/>
        <v>35200.18</v>
      </c>
      <c r="Y384" s="6">
        <f t="shared" si="116"/>
        <v>35171</v>
      </c>
    </row>
    <row r="385" spans="1:25" ht="12.75">
      <c r="A385" s="164"/>
      <c r="B385" s="145"/>
      <c r="C385" s="70"/>
      <c r="D385" s="70"/>
      <c r="E385" s="145"/>
      <c r="F385" s="8"/>
      <c r="G385" s="42" t="s">
        <v>13</v>
      </c>
      <c r="H385" s="13">
        <f>J385+L385+N385+P385</f>
        <v>0</v>
      </c>
      <c r="I385" s="13">
        <f>K385+M385+O385+Q385</f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59"/>
      <c r="S385" s="160"/>
      <c r="T385" s="11"/>
      <c r="W385" s="42" t="s">
        <v>111</v>
      </c>
      <c r="X385" s="6">
        <f t="shared" si="115"/>
        <v>85897.92</v>
      </c>
      <c r="Y385" s="6">
        <f t="shared" si="116"/>
        <v>30283.6</v>
      </c>
    </row>
    <row r="386" spans="1:25" ht="12.75">
      <c r="A386" s="164"/>
      <c r="B386" s="145"/>
      <c r="C386" s="70"/>
      <c r="D386" s="70"/>
      <c r="E386" s="145"/>
      <c r="F386" s="8"/>
      <c r="G386" s="42" t="s">
        <v>11</v>
      </c>
      <c r="H386" s="13">
        <v>0</v>
      </c>
      <c r="I386" s="13">
        <f>K386+M386+O386+Q386</f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59"/>
      <c r="S386" s="160"/>
      <c r="T386" s="11"/>
      <c r="W386" s="42" t="s">
        <v>112</v>
      </c>
      <c r="X386" s="6">
        <f t="shared" si="115"/>
        <v>85641.42</v>
      </c>
      <c r="Y386" s="6">
        <f t="shared" si="116"/>
        <v>30283.6</v>
      </c>
    </row>
    <row r="387" spans="1:25" ht="12.75">
      <c r="A387" s="164"/>
      <c r="B387" s="145"/>
      <c r="C387" s="70"/>
      <c r="D387" s="70"/>
      <c r="E387" s="145"/>
      <c r="F387" s="8"/>
      <c r="G387" s="42" t="s">
        <v>12</v>
      </c>
      <c r="H387" s="13">
        <f>J387+N387</f>
        <v>1533.2</v>
      </c>
      <c r="I387" s="13">
        <f>K387+O387</f>
        <v>1533.2</v>
      </c>
      <c r="J387" s="13">
        <f>K387</f>
        <v>383.20000000000005</v>
      </c>
      <c r="K387" s="13">
        <f>1500+10.8-1127.6</f>
        <v>383.20000000000005</v>
      </c>
      <c r="L387" s="13">
        <v>0</v>
      </c>
      <c r="M387" s="13">
        <v>0</v>
      </c>
      <c r="N387" s="13">
        <f>1800-650</f>
        <v>1150</v>
      </c>
      <c r="O387" s="13">
        <f>1800-650</f>
        <v>1150</v>
      </c>
      <c r="P387" s="13">
        <v>0</v>
      </c>
      <c r="Q387" s="13">
        <v>0</v>
      </c>
      <c r="R387" s="159"/>
      <c r="S387" s="160"/>
      <c r="T387" s="11"/>
      <c r="W387" s="12" t="s">
        <v>113</v>
      </c>
      <c r="X387" s="6">
        <f t="shared" si="115"/>
        <v>96653.40000000001</v>
      </c>
      <c r="Y387" s="6">
        <f t="shared" si="116"/>
        <v>0</v>
      </c>
    </row>
    <row r="388" spans="1:25" ht="12.75">
      <c r="A388" s="164"/>
      <c r="B388" s="145"/>
      <c r="C388" s="70"/>
      <c r="D388" s="70"/>
      <c r="E388" s="145"/>
      <c r="F388" s="8"/>
      <c r="G388" s="42" t="s">
        <v>14</v>
      </c>
      <c r="H388" s="13">
        <f>J388+L388+N388+P388</f>
        <v>0</v>
      </c>
      <c r="I388" s="13">
        <f>K388+M388+O388+Q388</f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59"/>
      <c r="S388" s="160"/>
      <c r="T388" s="11"/>
      <c r="W388" s="42" t="s">
        <v>72</v>
      </c>
      <c r="X388" s="6">
        <f t="shared" si="115"/>
        <v>106899.4</v>
      </c>
      <c r="Y388" s="6">
        <f t="shared" si="116"/>
        <v>0</v>
      </c>
    </row>
    <row r="389" spans="1:20" ht="12.75">
      <c r="A389" s="164"/>
      <c r="B389" s="145"/>
      <c r="C389" s="70"/>
      <c r="D389" s="70"/>
      <c r="E389" s="145"/>
      <c r="F389" s="8"/>
      <c r="G389" s="42" t="s">
        <v>15</v>
      </c>
      <c r="H389" s="13">
        <f>J389+L389+N389+P389</f>
        <v>0</v>
      </c>
      <c r="I389" s="13">
        <f>K389+M389+O389+Q389</f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59"/>
      <c r="S389" s="160"/>
      <c r="T389" s="11"/>
    </row>
    <row r="390" spans="1:20" ht="12.75">
      <c r="A390" s="164"/>
      <c r="B390" s="145"/>
      <c r="C390" s="88"/>
      <c r="D390" s="88"/>
      <c r="E390" s="145"/>
      <c r="F390" s="8"/>
      <c r="G390" s="12" t="s">
        <v>61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59"/>
      <c r="S390" s="160"/>
      <c r="T390" s="11"/>
    </row>
    <row r="391" spans="1:20" ht="12.75">
      <c r="A391" s="164"/>
      <c r="B391" s="145"/>
      <c r="C391" s="70"/>
      <c r="D391" s="70"/>
      <c r="E391" s="145"/>
      <c r="F391" s="8"/>
      <c r="G391" s="42" t="s">
        <v>110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59"/>
      <c r="S391" s="160"/>
      <c r="T391" s="11"/>
    </row>
    <row r="392" spans="1:20" ht="12.75">
      <c r="A392" s="164"/>
      <c r="B392" s="145"/>
      <c r="C392" s="70"/>
      <c r="D392" s="70"/>
      <c r="E392" s="145"/>
      <c r="F392" s="8"/>
      <c r="G392" s="42" t="s">
        <v>111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59"/>
      <c r="S392" s="160"/>
      <c r="T392" s="11"/>
    </row>
    <row r="393" spans="1:20" ht="12.75">
      <c r="A393" s="164"/>
      <c r="B393" s="145"/>
      <c r="C393" s="70"/>
      <c r="D393" s="70"/>
      <c r="E393" s="145"/>
      <c r="F393" s="8"/>
      <c r="G393" s="42" t="s">
        <v>112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59"/>
      <c r="S393" s="160"/>
      <c r="T393" s="11"/>
    </row>
    <row r="394" spans="1:20" ht="12.75">
      <c r="A394" s="164"/>
      <c r="B394" s="145"/>
      <c r="C394" s="70"/>
      <c r="D394" s="70"/>
      <c r="E394" s="145"/>
      <c r="F394" s="8"/>
      <c r="G394" s="42" t="s">
        <v>113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59"/>
      <c r="S394" s="160"/>
      <c r="T394" s="11"/>
    </row>
    <row r="395" spans="1:20" ht="12.75">
      <c r="A395" s="165"/>
      <c r="B395" s="146"/>
      <c r="C395" s="71"/>
      <c r="D395" s="71"/>
      <c r="E395" s="146"/>
      <c r="F395" s="8"/>
      <c r="G395" s="12" t="s">
        <v>72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61"/>
      <c r="S395" s="162"/>
      <c r="T395" s="11"/>
    </row>
    <row r="396" spans="1:20" ht="12.75" customHeight="1">
      <c r="A396" s="163">
        <v>30</v>
      </c>
      <c r="B396" s="144" t="s">
        <v>55</v>
      </c>
      <c r="C396" s="69"/>
      <c r="D396" s="69"/>
      <c r="E396" s="144" t="s">
        <v>60</v>
      </c>
      <c r="F396" s="8"/>
      <c r="G396" s="41" t="s">
        <v>9</v>
      </c>
      <c r="H396" s="10">
        <f aca="true" t="shared" si="118" ref="H396:Q396">SUM(H397:H407)</f>
        <v>3768.2999999999997</v>
      </c>
      <c r="I396" s="10">
        <f t="shared" si="118"/>
        <v>3768.2999999999997</v>
      </c>
      <c r="J396" s="10">
        <f t="shared" si="118"/>
        <v>1518.2999999999997</v>
      </c>
      <c r="K396" s="10">
        <f t="shared" si="118"/>
        <v>1518.2999999999997</v>
      </c>
      <c r="L396" s="10">
        <f t="shared" si="118"/>
        <v>0</v>
      </c>
      <c r="M396" s="10">
        <f t="shared" si="118"/>
        <v>0</v>
      </c>
      <c r="N396" s="10">
        <f t="shared" si="118"/>
        <v>2250</v>
      </c>
      <c r="O396" s="10">
        <f t="shared" si="118"/>
        <v>2250</v>
      </c>
      <c r="P396" s="10">
        <f t="shared" si="118"/>
        <v>0</v>
      </c>
      <c r="Q396" s="10">
        <f t="shared" si="118"/>
        <v>0</v>
      </c>
      <c r="R396" s="157" t="s">
        <v>36</v>
      </c>
      <c r="S396" s="158"/>
      <c r="T396" s="11"/>
    </row>
    <row r="397" spans="1:20" ht="12.75">
      <c r="A397" s="164"/>
      <c r="B397" s="145"/>
      <c r="C397" s="70"/>
      <c r="D397" s="70"/>
      <c r="E397" s="145"/>
      <c r="F397" s="8"/>
      <c r="G397" s="42" t="s">
        <v>13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59"/>
      <c r="S397" s="160"/>
      <c r="T397" s="11"/>
    </row>
    <row r="398" spans="1:20" ht="12.75">
      <c r="A398" s="164"/>
      <c r="B398" s="145"/>
      <c r="C398" s="70"/>
      <c r="D398" s="70"/>
      <c r="E398" s="145"/>
      <c r="F398" s="8"/>
      <c r="G398" s="42" t="s">
        <v>11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59"/>
      <c r="S398" s="160"/>
      <c r="T398" s="11"/>
    </row>
    <row r="399" spans="1:20" ht="12.75">
      <c r="A399" s="164"/>
      <c r="B399" s="145"/>
      <c r="C399" s="70"/>
      <c r="D399" s="70"/>
      <c r="E399" s="145"/>
      <c r="F399" s="8"/>
      <c r="G399" s="42" t="s">
        <v>12</v>
      </c>
      <c r="H399" s="13">
        <f>J399+N399</f>
        <v>3768.2999999999997</v>
      </c>
      <c r="I399" s="13">
        <f>K399+O399</f>
        <v>3768.2999999999997</v>
      </c>
      <c r="J399" s="13">
        <f>K399</f>
        <v>1518.2999999999997</v>
      </c>
      <c r="K399" s="13">
        <f>2250+12.2+6.1-750</f>
        <v>1518.2999999999997</v>
      </c>
      <c r="L399" s="13">
        <v>0</v>
      </c>
      <c r="M399" s="13">
        <v>0</v>
      </c>
      <c r="N399" s="13">
        <f>3200-950</f>
        <v>2250</v>
      </c>
      <c r="O399" s="13">
        <f>3200-950</f>
        <v>2250</v>
      </c>
      <c r="P399" s="13">
        <v>0</v>
      </c>
      <c r="Q399" s="13">
        <v>0</v>
      </c>
      <c r="R399" s="159"/>
      <c r="S399" s="160"/>
      <c r="T399" s="11"/>
    </row>
    <row r="400" spans="1:20" ht="12.75">
      <c r="A400" s="164"/>
      <c r="B400" s="145"/>
      <c r="C400" s="70"/>
      <c r="D400" s="70"/>
      <c r="E400" s="145"/>
      <c r="F400" s="8"/>
      <c r="G400" s="42" t="s">
        <v>14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59"/>
      <c r="S400" s="160"/>
      <c r="T400" s="11"/>
    </row>
    <row r="401" spans="1:20" ht="12.75">
      <c r="A401" s="164"/>
      <c r="B401" s="145"/>
      <c r="C401" s="88"/>
      <c r="D401" s="88"/>
      <c r="E401" s="145"/>
      <c r="F401" s="8"/>
      <c r="G401" s="42" t="s">
        <v>15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59"/>
      <c r="S401" s="160"/>
      <c r="T401" s="11"/>
    </row>
    <row r="402" spans="1:20" ht="12.75">
      <c r="A402" s="164"/>
      <c r="B402" s="145"/>
      <c r="C402" s="70"/>
      <c r="D402" s="70"/>
      <c r="E402" s="145"/>
      <c r="F402" s="8"/>
      <c r="G402" s="12" t="s">
        <v>61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59"/>
      <c r="S402" s="160"/>
      <c r="T402" s="11"/>
    </row>
    <row r="403" spans="1:20" ht="12.75">
      <c r="A403" s="164"/>
      <c r="B403" s="145"/>
      <c r="C403" s="70"/>
      <c r="D403" s="70"/>
      <c r="E403" s="145"/>
      <c r="F403" s="8"/>
      <c r="G403" s="42" t="s">
        <v>110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59"/>
      <c r="S403" s="160"/>
      <c r="T403" s="11"/>
    </row>
    <row r="404" spans="1:20" ht="12.75">
      <c r="A404" s="164"/>
      <c r="B404" s="145"/>
      <c r="C404" s="70"/>
      <c r="D404" s="70"/>
      <c r="E404" s="145"/>
      <c r="F404" s="8"/>
      <c r="G404" s="42" t="s">
        <v>111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59"/>
      <c r="S404" s="160"/>
      <c r="T404" s="11"/>
    </row>
    <row r="405" spans="1:20" ht="12.75">
      <c r="A405" s="164"/>
      <c r="B405" s="145"/>
      <c r="C405" s="70"/>
      <c r="D405" s="70"/>
      <c r="E405" s="145"/>
      <c r="F405" s="8"/>
      <c r="G405" s="42" t="s">
        <v>112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59"/>
      <c r="S405" s="160"/>
      <c r="T405" s="11"/>
    </row>
    <row r="406" spans="1:20" ht="12.75">
      <c r="A406" s="164"/>
      <c r="B406" s="145"/>
      <c r="C406" s="70"/>
      <c r="D406" s="70"/>
      <c r="E406" s="145"/>
      <c r="F406" s="8"/>
      <c r="G406" s="42" t="s">
        <v>113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59"/>
      <c r="S406" s="160"/>
      <c r="T406" s="11"/>
    </row>
    <row r="407" spans="1:20" ht="12.75">
      <c r="A407" s="165"/>
      <c r="B407" s="146"/>
      <c r="C407" s="71"/>
      <c r="D407" s="71"/>
      <c r="E407" s="146"/>
      <c r="F407" s="8"/>
      <c r="G407" s="12" t="s">
        <v>72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61"/>
      <c r="S407" s="162"/>
      <c r="T407" s="11"/>
    </row>
    <row r="408" spans="1:20" ht="12.75" customHeight="1">
      <c r="A408" s="163">
        <v>31</v>
      </c>
      <c r="B408" s="144" t="s">
        <v>71</v>
      </c>
      <c r="C408" s="69"/>
      <c r="D408" s="69"/>
      <c r="E408" s="144" t="s">
        <v>51</v>
      </c>
      <c r="F408" s="8"/>
      <c r="G408" s="41" t="s">
        <v>9</v>
      </c>
      <c r="H408" s="10">
        <f aca="true" t="shared" si="119" ref="H408:Q408">SUM(H409:H419)</f>
        <v>2326.8</v>
      </c>
      <c r="I408" s="10">
        <f t="shared" si="119"/>
        <v>1256.6000000000001</v>
      </c>
      <c r="J408" s="10">
        <f t="shared" si="119"/>
        <v>2326.8</v>
      </c>
      <c r="K408" s="10">
        <f t="shared" si="119"/>
        <v>1256.6000000000001</v>
      </c>
      <c r="L408" s="10">
        <f t="shared" si="119"/>
        <v>0</v>
      </c>
      <c r="M408" s="10">
        <f t="shared" si="119"/>
        <v>0</v>
      </c>
      <c r="N408" s="10">
        <f t="shared" si="119"/>
        <v>0</v>
      </c>
      <c r="O408" s="10">
        <f t="shared" si="119"/>
        <v>0</v>
      </c>
      <c r="P408" s="10">
        <f t="shared" si="119"/>
        <v>0</v>
      </c>
      <c r="Q408" s="10">
        <f t="shared" si="119"/>
        <v>0</v>
      </c>
      <c r="R408" s="157" t="s">
        <v>36</v>
      </c>
      <c r="S408" s="158"/>
      <c r="T408" s="11"/>
    </row>
    <row r="409" spans="1:20" ht="12.75">
      <c r="A409" s="164"/>
      <c r="B409" s="145"/>
      <c r="C409" s="70"/>
      <c r="D409" s="70"/>
      <c r="E409" s="145"/>
      <c r="F409" s="8"/>
      <c r="G409" s="42" t="s">
        <v>13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59"/>
      <c r="S409" s="160"/>
      <c r="T409" s="11"/>
    </row>
    <row r="410" spans="1:20" ht="12.75">
      <c r="A410" s="164"/>
      <c r="B410" s="145"/>
      <c r="C410" s="70"/>
      <c r="D410" s="70"/>
      <c r="E410" s="145"/>
      <c r="F410" s="8"/>
      <c r="G410" s="42" t="s">
        <v>11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59"/>
      <c r="S410" s="160"/>
      <c r="T410" s="11"/>
    </row>
    <row r="411" spans="1:20" ht="12.75">
      <c r="A411" s="164"/>
      <c r="B411" s="145"/>
      <c r="C411" s="70"/>
      <c r="D411" s="70"/>
      <c r="E411" s="145"/>
      <c r="F411" s="8"/>
      <c r="G411" s="42" t="s">
        <v>12</v>
      </c>
      <c r="H411" s="13">
        <v>700</v>
      </c>
      <c r="I411" s="13">
        <v>0</v>
      </c>
      <c r="J411" s="13">
        <v>700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59"/>
      <c r="S411" s="160"/>
      <c r="T411" s="11"/>
    </row>
    <row r="412" spans="1:20" ht="12.75">
      <c r="A412" s="164"/>
      <c r="B412" s="145"/>
      <c r="C412" s="70"/>
      <c r="D412" s="70"/>
      <c r="E412" s="145"/>
      <c r="F412" s="8"/>
      <c r="G412" s="42" t="s">
        <v>14</v>
      </c>
      <c r="H412" s="13">
        <f>J412</f>
        <v>1626.8</v>
      </c>
      <c r="I412" s="13">
        <f>K412</f>
        <v>1256.6000000000001</v>
      </c>
      <c r="J412" s="13">
        <v>1626.8</v>
      </c>
      <c r="K412" s="13">
        <f>340.4+1286.4-370.2</f>
        <v>1256.6000000000001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59"/>
      <c r="S412" s="160"/>
      <c r="T412" s="11"/>
    </row>
    <row r="413" spans="1:20" ht="12.75">
      <c r="A413" s="164"/>
      <c r="B413" s="145"/>
      <c r="C413" s="70"/>
      <c r="D413" s="70"/>
      <c r="E413" s="145"/>
      <c r="F413" s="8"/>
      <c r="G413" s="42" t="s">
        <v>15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59"/>
      <c r="S413" s="160"/>
      <c r="T413" s="11"/>
    </row>
    <row r="414" spans="1:20" ht="12.75">
      <c r="A414" s="164"/>
      <c r="B414" s="145"/>
      <c r="C414" s="88"/>
      <c r="D414" s="88"/>
      <c r="E414" s="145"/>
      <c r="F414" s="8"/>
      <c r="G414" s="12" t="s">
        <v>61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59"/>
      <c r="S414" s="160"/>
      <c r="T414" s="11"/>
    </row>
    <row r="415" spans="1:20" ht="12.75">
      <c r="A415" s="164"/>
      <c r="B415" s="145"/>
      <c r="C415" s="70"/>
      <c r="D415" s="70"/>
      <c r="E415" s="145"/>
      <c r="F415" s="12"/>
      <c r="G415" s="42" t="s">
        <v>110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59"/>
      <c r="S415" s="160"/>
      <c r="T415" s="11"/>
    </row>
    <row r="416" spans="1:20" ht="12.75">
      <c r="A416" s="164"/>
      <c r="B416" s="145"/>
      <c r="C416" s="70"/>
      <c r="D416" s="70"/>
      <c r="E416" s="145"/>
      <c r="F416" s="12"/>
      <c r="G416" s="42" t="s">
        <v>111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59"/>
      <c r="S416" s="160"/>
      <c r="T416" s="11"/>
    </row>
    <row r="417" spans="1:20" ht="12.75">
      <c r="A417" s="164"/>
      <c r="B417" s="145"/>
      <c r="C417" s="70"/>
      <c r="D417" s="70"/>
      <c r="E417" s="145"/>
      <c r="F417" s="12"/>
      <c r="G417" s="42" t="s">
        <v>112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59"/>
      <c r="S417" s="160"/>
      <c r="T417" s="11"/>
    </row>
    <row r="418" spans="1:20" ht="12.75">
      <c r="A418" s="164"/>
      <c r="B418" s="145"/>
      <c r="C418" s="70"/>
      <c r="D418" s="70"/>
      <c r="E418" s="145"/>
      <c r="F418" s="12"/>
      <c r="G418" s="12" t="s">
        <v>113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59"/>
      <c r="S418" s="160"/>
      <c r="T418" s="11"/>
    </row>
    <row r="419" spans="1:20" ht="12.75">
      <c r="A419" s="165"/>
      <c r="B419" s="146"/>
      <c r="C419" s="71"/>
      <c r="D419" s="71"/>
      <c r="E419" s="146"/>
      <c r="F419" s="12"/>
      <c r="G419" s="42" t="s">
        <v>72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61"/>
      <c r="S419" s="162"/>
      <c r="T419" s="11"/>
    </row>
    <row r="420" spans="1:20" ht="12.75" customHeight="1">
      <c r="A420" s="163">
        <v>32</v>
      </c>
      <c r="B420" s="144" t="s">
        <v>56</v>
      </c>
      <c r="C420" s="69"/>
      <c r="D420" s="69"/>
      <c r="E420" s="45"/>
      <c r="F420" s="12"/>
      <c r="G420" s="41" t="s">
        <v>9</v>
      </c>
      <c r="H420" s="10">
        <f aca="true" t="shared" si="120" ref="H420:Q420">SUM(H421:H431)</f>
        <v>1626</v>
      </c>
      <c r="I420" s="10">
        <f t="shared" si="120"/>
        <v>553</v>
      </c>
      <c r="J420" s="10">
        <f t="shared" si="120"/>
        <v>1103</v>
      </c>
      <c r="K420" s="10">
        <f t="shared" si="120"/>
        <v>553</v>
      </c>
      <c r="L420" s="10">
        <f t="shared" si="120"/>
        <v>0</v>
      </c>
      <c r="M420" s="10">
        <f t="shared" si="120"/>
        <v>0</v>
      </c>
      <c r="N420" s="10">
        <f t="shared" si="120"/>
        <v>523</v>
      </c>
      <c r="O420" s="10">
        <f t="shared" si="120"/>
        <v>0</v>
      </c>
      <c r="P420" s="10">
        <f t="shared" si="120"/>
        <v>0</v>
      </c>
      <c r="Q420" s="10">
        <f t="shared" si="120"/>
        <v>0</v>
      </c>
      <c r="R420" s="157" t="s">
        <v>36</v>
      </c>
      <c r="S420" s="158"/>
      <c r="T420" s="11"/>
    </row>
    <row r="421" spans="1:20" ht="12.75">
      <c r="A421" s="164"/>
      <c r="B421" s="145"/>
      <c r="C421" s="70"/>
      <c r="D421" s="70"/>
      <c r="E421" s="34"/>
      <c r="F421" s="12"/>
      <c r="G421" s="42" t="s">
        <v>13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59"/>
      <c r="S421" s="160"/>
      <c r="T421" s="11"/>
    </row>
    <row r="422" spans="1:20" ht="12.75">
      <c r="A422" s="164"/>
      <c r="B422" s="145"/>
      <c r="C422" s="70"/>
      <c r="D422" s="70"/>
      <c r="E422" s="34"/>
      <c r="F422" s="12"/>
      <c r="G422" s="42" t="s">
        <v>11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59"/>
      <c r="S422" s="160"/>
      <c r="T422" s="11"/>
    </row>
    <row r="423" spans="1:20" ht="12.75">
      <c r="A423" s="164"/>
      <c r="B423" s="145"/>
      <c r="C423" s="70"/>
      <c r="D423" s="70"/>
      <c r="E423" s="34" t="s">
        <v>51</v>
      </c>
      <c r="F423" s="12"/>
      <c r="G423" s="42" t="s">
        <v>12</v>
      </c>
      <c r="H423" s="13">
        <v>550</v>
      </c>
      <c r="I423" s="13">
        <v>0</v>
      </c>
      <c r="J423" s="13">
        <v>550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59"/>
      <c r="S423" s="160"/>
      <c r="T423" s="11"/>
    </row>
    <row r="424" spans="1:20" ht="12.75">
      <c r="A424" s="164"/>
      <c r="B424" s="145"/>
      <c r="C424" s="88"/>
      <c r="D424" s="88"/>
      <c r="E424" s="34" t="s">
        <v>51</v>
      </c>
      <c r="F424" s="12"/>
      <c r="G424" s="42" t="s">
        <v>14</v>
      </c>
      <c r="H424" s="13">
        <f>J424+N424</f>
        <v>1076</v>
      </c>
      <c r="I424" s="13">
        <f>K424+O424</f>
        <v>553</v>
      </c>
      <c r="J424" s="13">
        <v>553</v>
      </c>
      <c r="K424" s="13">
        <f>523+30</f>
        <v>553</v>
      </c>
      <c r="L424" s="13">
        <v>0</v>
      </c>
      <c r="M424" s="13">
        <v>0</v>
      </c>
      <c r="N424" s="13">
        <v>523</v>
      </c>
      <c r="O424" s="13">
        <v>0</v>
      </c>
      <c r="P424" s="13">
        <v>0</v>
      </c>
      <c r="Q424" s="13">
        <v>0</v>
      </c>
      <c r="R424" s="159"/>
      <c r="S424" s="160"/>
      <c r="T424" s="11"/>
    </row>
    <row r="425" spans="1:20" ht="12.75">
      <c r="A425" s="164"/>
      <c r="B425" s="145"/>
      <c r="C425" s="70"/>
      <c r="D425" s="70"/>
      <c r="E425" s="34"/>
      <c r="F425" s="12"/>
      <c r="G425" s="42" t="s">
        <v>15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59"/>
      <c r="S425" s="160"/>
      <c r="T425" s="11"/>
    </row>
    <row r="426" spans="1:20" ht="12.75">
      <c r="A426" s="164"/>
      <c r="B426" s="145"/>
      <c r="C426" s="70"/>
      <c r="D426" s="70"/>
      <c r="E426" s="34"/>
      <c r="F426" s="12"/>
      <c r="G426" s="12" t="s">
        <v>61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59"/>
      <c r="S426" s="160"/>
      <c r="T426" s="11"/>
    </row>
    <row r="427" spans="1:20" ht="12.75">
      <c r="A427" s="164"/>
      <c r="B427" s="145"/>
      <c r="C427" s="70"/>
      <c r="D427" s="70"/>
      <c r="E427" s="34"/>
      <c r="F427" s="12"/>
      <c r="G427" s="42" t="s">
        <v>110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59"/>
      <c r="S427" s="160"/>
      <c r="T427" s="11"/>
    </row>
    <row r="428" spans="1:20" ht="12.75">
      <c r="A428" s="164"/>
      <c r="B428" s="145"/>
      <c r="C428" s="70"/>
      <c r="D428" s="70"/>
      <c r="E428" s="34"/>
      <c r="F428" s="12"/>
      <c r="G428" s="42" t="s">
        <v>111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59"/>
      <c r="S428" s="160"/>
      <c r="T428" s="11"/>
    </row>
    <row r="429" spans="1:20" ht="12.75">
      <c r="A429" s="164"/>
      <c r="B429" s="145"/>
      <c r="C429" s="70"/>
      <c r="D429" s="70"/>
      <c r="E429" s="34"/>
      <c r="F429" s="12"/>
      <c r="G429" s="42" t="s">
        <v>112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59"/>
      <c r="S429" s="160"/>
      <c r="T429" s="11"/>
    </row>
    <row r="430" spans="1:20" ht="12.75">
      <c r="A430" s="164"/>
      <c r="B430" s="145"/>
      <c r="C430" s="70"/>
      <c r="D430" s="70"/>
      <c r="E430" s="34"/>
      <c r="F430" s="12"/>
      <c r="G430" s="12" t="s">
        <v>113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59"/>
      <c r="S430" s="160"/>
      <c r="T430" s="11"/>
    </row>
    <row r="431" spans="1:20" ht="12.75">
      <c r="A431" s="165"/>
      <c r="B431" s="146"/>
      <c r="C431" s="70"/>
      <c r="D431" s="70"/>
      <c r="E431" s="34"/>
      <c r="F431" s="12"/>
      <c r="G431" s="42" t="s">
        <v>72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61"/>
      <c r="S431" s="162"/>
      <c r="T431" s="11"/>
    </row>
    <row r="432" spans="1:20" ht="12.75" customHeight="1">
      <c r="A432" s="163">
        <v>33</v>
      </c>
      <c r="B432" s="144" t="s">
        <v>58</v>
      </c>
      <c r="C432" s="69"/>
      <c r="D432" s="69"/>
      <c r="E432" s="144" t="s">
        <v>57</v>
      </c>
      <c r="F432" s="8"/>
      <c r="G432" s="41" t="s">
        <v>9</v>
      </c>
      <c r="H432" s="10">
        <f aca="true" t="shared" si="121" ref="H432:Q432">SUM(H433:H443)</f>
        <v>7.2</v>
      </c>
      <c r="I432" s="10">
        <f t="shared" si="121"/>
        <v>7.2</v>
      </c>
      <c r="J432" s="10">
        <f t="shared" si="121"/>
        <v>0.1</v>
      </c>
      <c r="K432" s="10">
        <f t="shared" si="121"/>
        <v>0.1</v>
      </c>
      <c r="L432" s="10">
        <f t="shared" si="121"/>
        <v>0</v>
      </c>
      <c r="M432" s="10">
        <f t="shared" si="121"/>
        <v>0</v>
      </c>
      <c r="N432" s="10">
        <f t="shared" si="121"/>
        <v>7.1</v>
      </c>
      <c r="O432" s="10">
        <f t="shared" si="121"/>
        <v>7.1</v>
      </c>
      <c r="P432" s="10">
        <f t="shared" si="121"/>
        <v>0</v>
      </c>
      <c r="Q432" s="10">
        <f t="shared" si="121"/>
        <v>0</v>
      </c>
      <c r="R432" s="157" t="s">
        <v>36</v>
      </c>
      <c r="S432" s="158"/>
      <c r="T432" s="11"/>
    </row>
    <row r="433" spans="1:20" ht="12.75">
      <c r="A433" s="164"/>
      <c r="B433" s="145"/>
      <c r="C433" s="70"/>
      <c r="D433" s="70"/>
      <c r="E433" s="145"/>
      <c r="F433" s="8"/>
      <c r="G433" s="42" t="s">
        <v>13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59"/>
      <c r="S433" s="160"/>
      <c r="T433" s="11"/>
    </row>
    <row r="434" spans="1:20" ht="12.75">
      <c r="A434" s="164"/>
      <c r="B434" s="145"/>
      <c r="C434" s="70"/>
      <c r="D434" s="70"/>
      <c r="E434" s="145"/>
      <c r="F434" s="8"/>
      <c r="G434" s="42" t="s">
        <v>11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59"/>
      <c r="S434" s="160"/>
      <c r="T434" s="11"/>
    </row>
    <row r="435" spans="1:20" ht="12.75">
      <c r="A435" s="164"/>
      <c r="B435" s="145"/>
      <c r="C435" s="70"/>
      <c r="D435" s="70"/>
      <c r="E435" s="145"/>
      <c r="F435" s="8"/>
      <c r="G435" s="42" t="s">
        <v>12</v>
      </c>
      <c r="H435" s="13">
        <v>7.2</v>
      </c>
      <c r="I435" s="13">
        <v>7.2</v>
      </c>
      <c r="J435" s="13">
        <v>0.1</v>
      </c>
      <c r="K435" s="13">
        <v>0.1</v>
      </c>
      <c r="L435" s="13">
        <v>0</v>
      </c>
      <c r="M435" s="13">
        <v>0</v>
      </c>
      <c r="N435" s="13">
        <v>7.1</v>
      </c>
      <c r="O435" s="13">
        <v>7.1</v>
      </c>
      <c r="P435" s="13">
        <v>0</v>
      </c>
      <c r="Q435" s="13">
        <v>0</v>
      </c>
      <c r="R435" s="159"/>
      <c r="S435" s="160"/>
      <c r="T435" s="11"/>
    </row>
    <row r="436" spans="1:20" ht="12.75">
      <c r="A436" s="164"/>
      <c r="B436" s="145"/>
      <c r="C436" s="88"/>
      <c r="D436" s="88"/>
      <c r="E436" s="145"/>
      <c r="F436" s="8"/>
      <c r="G436" s="42" t="s">
        <v>14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59"/>
      <c r="S436" s="160"/>
      <c r="T436" s="11"/>
    </row>
    <row r="437" spans="1:20" ht="12.75">
      <c r="A437" s="164"/>
      <c r="B437" s="145"/>
      <c r="C437" s="70"/>
      <c r="D437" s="70"/>
      <c r="E437" s="145"/>
      <c r="F437" s="8"/>
      <c r="G437" s="42" t="s">
        <v>15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59"/>
      <c r="S437" s="160"/>
      <c r="T437" s="11"/>
    </row>
    <row r="438" spans="1:20" ht="12.75">
      <c r="A438" s="164"/>
      <c r="B438" s="145"/>
      <c r="C438" s="70"/>
      <c r="D438" s="70"/>
      <c r="E438" s="145"/>
      <c r="F438" s="8"/>
      <c r="G438" s="12" t="s">
        <v>61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59"/>
      <c r="S438" s="160"/>
      <c r="T438" s="11"/>
    </row>
    <row r="439" spans="1:20" ht="12.75">
      <c r="A439" s="164"/>
      <c r="B439" s="145"/>
      <c r="C439" s="70"/>
      <c r="D439" s="70"/>
      <c r="E439" s="60"/>
      <c r="F439" s="12"/>
      <c r="G439" s="42" t="s">
        <v>110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59"/>
      <c r="S439" s="160"/>
      <c r="T439" s="11"/>
    </row>
    <row r="440" spans="1:20" ht="12.75">
      <c r="A440" s="164"/>
      <c r="B440" s="145"/>
      <c r="C440" s="70"/>
      <c r="D440" s="70"/>
      <c r="E440" s="60"/>
      <c r="F440" s="12"/>
      <c r="G440" s="42" t="s">
        <v>111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59"/>
      <c r="S440" s="160"/>
      <c r="T440" s="11"/>
    </row>
    <row r="441" spans="1:20" ht="12.75">
      <c r="A441" s="164"/>
      <c r="B441" s="145"/>
      <c r="C441" s="70"/>
      <c r="D441" s="70"/>
      <c r="E441" s="60"/>
      <c r="F441" s="12"/>
      <c r="G441" s="42" t="s">
        <v>112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59"/>
      <c r="S441" s="160"/>
      <c r="T441" s="11"/>
    </row>
    <row r="442" spans="1:20" ht="12.75">
      <c r="A442" s="164"/>
      <c r="B442" s="145"/>
      <c r="C442" s="70"/>
      <c r="D442" s="70"/>
      <c r="E442" s="60"/>
      <c r="F442" s="12"/>
      <c r="G442" s="12" t="s">
        <v>113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59"/>
      <c r="S442" s="160"/>
      <c r="T442" s="11"/>
    </row>
    <row r="443" spans="1:20" ht="12.75">
      <c r="A443" s="165"/>
      <c r="B443" s="146"/>
      <c r="C443" s="70"/>
      <c r="D443" s="70"/>
      <c r="E443" s="60"/>
      <c r="F443" s="12"/>
      <c r="G443" s="42" t="s">
        <v>72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61"/>
      <c r="S443" s="162"/>
      <c r="T443" s="11"/>
    </row>
    <row r="444" spans="1:20" ht="12.75">
      <c r="A444" s="163">
        <v>34</v>
      </c>
      <c r="B444" s="144" t="s">
        <v>122</v>
      </c>
      <c r="C444" s="69"/>
      <c r="D444" s="69"/>
      <c r="E444" s="59"/>
      <c r="F444" s="12"/>
      <c r="G444" s="41" t="s">
        <v>9</v>
      </c>
      <c r="H444" s="10">
        <f aca="true" t="shared" si="122" ref="H444:Q444">SUM(H445:H455)</f>
        <v>12414.5</v>
      </c>
      <c r="I444" s="10">
        <f t="shared" si="122"/>
        <v>0</v>
      </c>
      <c r="J444" s="10">
        <f t="shared" si="122"/>
        <v>12414.5</v>
      </c>
      <c r="K444" s="10">
        <f t="shared" si="122"/>
        <v>0</v>
      </c>
      <c r="L444" s="10">
        <f t="shared" si="122"/>
        <v>0</v>
      </c>
      <c r="M444" s="10">
        <f t="shared" si="122"/>
        <v>0</v>
      </c>
      <c r="N444" s="10">
        <f t="shared" si="122"/>
        <v>0</v>
      </c>
      <c r="O444" s="10">
        <f t="shared" si="122"/>
        <v>0</v>
      </c>
      <c r="P444" s="10">
        <f t="shared" si="122"/>
        <v>0</v>
      </c>
      <c r="Q444" s="10">
        <f t="shared" si="122"/>
        <v>0</v>
      </c>
      <c r="R444" s="157" t="s">
        <v>36</v>
      </c>
      <c r="S444" s="158"/>
      <c r="T444" s="11"/>
    </row>
    <row r="445" spans="1:20" ht="12.75">
      <c r="A445" s="164"/>
      <c r="B445" s="145"/>
      <c r="C445" s="70"/>
      <c r="D445" s="70"/>
      <c r="E445" s="60"/>
      <c r="F445" s="12"/>
      <c r="G445" s="42" t="s">
        <v>13</v>
      </c>
      <c r="H445" s="13">
        <f>J445+L445+N445+P445</f>
        <v>0</v>
      </c>
      <c r="I445" s="13">
        <f>K445+M445+O445+Q445</f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59"/>
      <c r="S445" s="160"/>
      <c r="T445" s="11"/>
    </row>
    <row r="446" spans="1:20" ht="12.75">
      <c r="A446" s="164"/>
      <c r="B446" s="145"/>
      <c r="C446" s="70"/>
      <c r="D446" s="70"/>
      <c r="E446" s="60"/>
      <c r="F446" s="12"/>
      <c r="G446" s="42" t="s">
        <v>11</v>
      </c>
      <c r="H446" s="13">
        <f aca="true" t="shared" si="123" ref="H446:I450">J446+L446+N446+P446</f>
        <v>0</v>
      </c>
      <c r="I446" s="13">
        <f t="shared" si="123"/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59"/>
      <c r="S446" s="160"/>
      <c r="T446" s="11"/>
    </row>
    <row r="447" spans="1:20" ht="12.75">
      <c r="A447" s="164"/>
      <c r="B447" s="145"/>
      <c r="C447" s="70"/>
      <c r="D447" s="70"/>
      <c r="E447" s="60"/>
      <c r="F447" s="12"/>
      <c r="G447" s="42" t="s">
        <v>12</v>
      </c>
      <c r="H447" s="13">
        <f t="shared" si="123"/>
        <v>0</v>
      </c>
      <c r="I447" s="13">
        <f t="shared" si="123"/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59"/>
      <c r="S447" s="160"/>
      <c r="T447" s="11"/>
    </row>
    <row r="448" spans="1:20" ht="12.75">
      <c r="A448" s="164"/>
      <c r="B448" s="145"/>
      <c r="C448" s="70"/>
      <c r="D448" s="70"/>
      <c r="E448" s="60" t="s">
        <v>51</v>
      </c>
      <c r="F448" s="12"/>
      <c r="G448" s="42" t="s">
        <v>14</v>
      </c>
      <c r="H448" s="13">
        <f t="shared" si="123"/>
        <v>0</v>
      </c>
      <c r="I448" s="13">
        <f t="shared" si="123"/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59"/>
      <c r="S448" s="160"/>
      <c r="T448" s="11"/>
    </row>
    <row r="449" spans="1:20" ht="12.75">
      <c r="A449" s="164"/>
      <c r="B449" s="145"/>
      <c r="C449" s="70"/>
      <c r="D449" s="70"/>
      <c r="E449" s="60"/>
      <c r="F449" s="12"/>
      <c r="G449" s="42" t="s">
        <v>15</v>
      </c>
      <c r="H449" s="13">
        <f t="shared" si="123"/>
        <v>3200</v>
      </c>
      <c r="I449" s="13">
        <v>0</v>
      </c>
      <c r="J449" s="13">
        <v>3200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59"/>
      <c r="S449" s="160"/>
      <c r="T449" s="11"/>
    </row>
    <row r="450" spans="1:20" ht="12.75">
      <c r="A450" s="164"/>
      <c r="B450" s="145"/>
      <c r="C450" s="70"/>
      <c r="D450" s="70"/>
      <c r="E450" s="60"/>
      <c r="F450" s="12"/>
      <c r="G450" s="12" t="s">
        <v>61</v>
      </c>
      <c r="H450" s="13">
        <f t="shared" si="123"/>
        <v>9207.3</v>
      </c>
      <c r="I450" s="13">
        <f t="shared" si="123"/>
        <v>0</v>
      </c>
      <c r="J450" s="13">
        <v>9207.3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59"/>
      <c r="S450" s="160"/>
      <c r="T450" s="11"/>
    </row>
    <row r="451" spans="1:20" ht="12.75">
      <c r="A451" s="164"/>
      <c r="B451" s="145"/>
      <c r="C451" s="100" t="s">
        <v>163</v>
      </c>
      <c r="D451" s="100" t="s">
        <v>164</v>
      </c>
      <c r="E451" s="60"/>
      <c r="F451" s="12"/>
      <c r="G451" s="42" t="s">
        <v>110</v>
      </c>
      <c r="H451" s="13">
        <f aca="true" t="shared" si="124" ref="H451:I455">J451+L451+N451+P451</f>
        <v>0</v>
      </c>
      <c r="I451" s="13">
        <f t="shared" si="124"/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59"/>
      <c r="S451" s="160"/>
      <c r="T451" s="11"/>
    </row>
    <row r="452" spans="1:20" ht="12.75">
      <c r="A452" s="164"/>
      <c r="B452" s="145"/>
      <c r="C452" s="70"/>
      <c r="D452" s="70"/>
      <c r="E452" s="60"/>
      <c r="F452" s="12"/>
      <c r="G452" s="42" t="s">
        <v>111</v>
      </c>
      <c r="H452" s="13">
        <f t="shared" si="124"/>
        <v>0</v>
      </c>
      <c r="I452" s="13">
        <f t="shared" si="124"/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59"/>
      <c r="S452" s="160"/>
      <c r="T452" s="11"/>
    </row>
    <row r="453" spans="1:20" ht="12.75">
      <c r="A453" s="164"/>
      <c r="B453" s="145"/>
      <c r="C453" s="70"/>
      <c r="D453" s="70"/>
      <c r="E453" s="60"/>
      <c r="F453" s="12"/>
      <c r="G453" s="12" t="s">
        <v>112</v>
      </c>
      <c r="H453" s="13">
        <f t="shared" si="124"/>
        <v>0</v>
      </c>
      <c r="I453" s="13">
        <f t="shared" si="124"/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59"/>
      <c r="S453" s="160"/>
      <c r="T453" s="11"/>
    </row>
    <row r="454" spans="1:20" ht="12.75">
      <c r="A454" s="164"/>
      <c r="B454" s="145"/>
      <c r="C454" s="70"/>
      <c r="D454" s="70"/>
      <c r="E454" s="60"/>
      <c r="F454" s="12"/>
      <c r="G454" s="42" t="s">
        <v>113</v>
      </c>
      <c r="H454" s="13">
        <f t="shared" si="124"/>
        <v>0</v>
      </c>
      <c r="I454" s="13">
        <f t="shared" si="124"/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59"/>
      <c r="S454" s="160"/>
      <c r="T454" s="11"/>
    </row>
    <row r="455" spans="1:20" ht="12.75">
      <c r="A455" s="165"/>
      <c r="B455" s="146"/>
      <c r="C455" s="70"/>
      <c r="D455" s="70"/>
      <c r="E455" s="60"/>
      <c r="F455" s="12"/>
      <c r="G455" s="42" t="s">
        <v>72</v>
      </c>
      <c r="H455" s="13">
        <f t="shared" si="124"/>
        <v>7.2</v>
      </c>
      <c r="I455" s="13">
        <f t="shared" si="124"/>
        <v>0</v>
      </c>
      <c r="J455" s="13">
        <v>7.2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61"/>
      <c r="S455" s="162"/>
      <c r="T455" s="11"/>
    </row>
    <row r="456" spans="1:20" ht="12.75">
      <c r="A456" s="163">
        <v>35</v>
      </c>
      <c r="B456" s="144" t="s">
        <v>148</v>
      </c>
      <c r="C456" s="69"/>
      <c r="D456" s="69"/>
      <c r="E456" s="59"/>
      <c r="F456" s="12"/>
      <c r="G456" s="41" t="s">
        <v>9</v>
      </c>
      <c r="H456" s="13">
        <f>SUM(H457:H467)</f>
        <v>326</v>
      </c>
      <c r="I456" s="13">
        <f>SUM(I457:I467)</f>
        <v>325.99999999999994</v>
      </c>
      <c r="J456" s="13">
        <f aca="true" t="shared" si="125" ref="J456:Q456">SUM(J457:J467)</f>
        <v>326</v>
      </c>
      <c r="K456" s="13">
        <f t="shared" si="125"/>
        <v>325.99999999999994</v>
      </c>
      <c r="L456" s="13">
        <f t="shared" si="125"/>
        <v>0</v>
      </c>
      <c r="M456" s="13">
        <f t="shared" si="125"/>
        <v>0</v>
      </c>
      <c r="N456" s="13">
        <f t="shared" si="125"/>
        <v>0</v>
      </c>
      <c r="O456" s="13">
        <f t="shared" si="125"/>
        <v>0</v>
      </c>
      <c r="P456" s="13">
        <f t="shared" si="125"/>
        <v>0</v>
      </c>
      <c r="Q456" s="13">
        <f t="shared" si="125"/>
        <v>0</v>
      </c>
      <c r="R456" s="157" t="s">
        <v>36</v>
      </c>
      <c r="S456" s="158"/>
      <c r="T456" s="11"/>
    </row>
    <row r="457" spans="1:20" ht="12.75">
      <c r="A457" s="164"/>
      <c r="B457" s="145"/>
      <c r="C457" s="70"/>
      <c r="D457" s="70"/>
      <c r="E457" s="60"/>
      <c r="F457" s="12"/>
      <c r="G457" s="42" t="s">
        <v>13</v>
      </c>
      <c r="H457" s="13">
        <f>SUM(J457+L457+N457+P457)</f>
        <v>0</v>
      </c>
      <c r="I457" s="13">
        <f>SUM(K457+M457+O457+Q457)</f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59"/>
      <c r="S457" s="160"/>
      <c r="T457" s="11"/>
    </row>
    <row r="458" spans="1:20" ht="12.75">
      <c r="A458" s="164"/>
      <c r="B458" s="145"/>
      <c r="C458" s="70"/>
      <c r="D458" s="70"/>
      <c r="E458" s="60"/>
      <c r="F458" s="12"/>
      <c r="G458" s="42" t="s">
        <v>11</v>
      </c>
      <c r="H458" s="13">
        <f aca="true" t="shared" si="126" ref="H458:H467">SUM(J458+L458+N458+P458)</f>
        <v>0</v>
      </c>
      <c r="I458" s="13">
        <f aca="true" t="shared" si="127" ref="I458:I467">SUM(K458+M458+O458+Q458)</f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59"/>
      <c r="S458" s="160"/>
      <c r="T458" s="11"/>
    </row>
    <row r="459" spans="1:20" ht="12.75">
      <c r="A459" s="164"/>
      <c r="B459" s="145"/>
      <c r="C459" s="70"/>
      <c r="D459" s="70"/>
      <c r="E459" s="60"/>
      <c r="F459" s="12"/>
      <c r="G459" s="42" t="s">
        <v>12</v>
      </c>
      <c r="H459" s="13">
        <f t="shared" si="126"/>
        <v>0</v>
      </c>
      <c r="I459" s="13">
        <f t="shared" si="127"/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59"/>
      <c r="S459" s="160"/>
      <c r="T459" s="11"/>
    </row>
    <row r="460" spans="1:20" ht="12.75">
      <c r="A460" s="164"/>
      <c r="B460" s="145"/>
      <c r="C460" s="70"/>
      <c r="D460" s="70"/>
      <c r="E460" s="60"/>
      <c r="F460" s="12"/>
      <c r="G460" s="42" t="s">
        <v>14</v>
      </c>
      <c r="H460" s="13">
        <f t="shared" si="126"/>
        <v>0</v>
      </c>
      <c r="I460" s="13">
        <f t="shared" si="127"/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59"/>
      <c r="S460" s="160"/>
      <c r="T460" s="11"/>
    </row>
    <row r="461" spans="1:20" ht="12.75">
      <c r="A461" s="164"/>
      <c r="B461" s="145"/>
      <c r="C461" s="70"/>
      <c r="D461" s="70"/>
      <c r="E461" s="60" t="s">
        <v>51</v>
      </c>
      <c r="F461" s="12"/>
      <c r="G461" s="42" t="s">
        <v>15</v>
      </c>
      <c r="H461" s="13">
        <f t="shared" si="126"/>
        <v>326</v>
      </c>
      <c r="I461" s="13">
        <f t="shared" si="127"/>
        <v>325.99999999999994</v>
      </c>
      <c r="J461" s="13">
        <v>326</v>
      </c>
      <c r="K461" s="13">
        <f>952.3-456-170.3</f>
        <v>325.99999999999994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59"/>
      <c r="S461" s="160"/>
      <c r="T461" s="11"/>
    </row>
    <row r="462" spans="1:20" ht="12.75">
      <c r="A462" s="164"/>
      <c r="B462" s="145"/>
      <c r="C462" s="88"/>
      <c r="D462" s="88"/>
      <c r="E462" s="60"/>
      <c r="F462" s="12"/>
      <c r="G462" s="12" t="s">
        <v>61</v>
      </c>
      <c r="H462" s="13">
        <f t="shared" si="126"/>
        <v>0</v>
      </c>
      <c r="I462" s="13">
        <f t="shared" si="127"/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59"/>
      <c r="S462" s="160"/>
      <c r="T462" s="11"/>
    </row>
    <row r="463" spans="1:20" ht="12.75">
      <c r="A463" s="164"/>
      <c r="B463" s="145"/>
      <c r="C463" s="70"/>
      <c r="D463" s="70"/>
      <c r="E463" s="60"/>
      <c r="F463" s="12"/>
      <c r="G463" s="42" t="s">
        <v>110</v>
      </c>
      <c r="H463" s="13">
        <f t="shared" si="126"/>
        <v>0</v>
      </c>
      <c r="I463" s="13">
        <f t="shared" si="127"/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59"/>
      <c r="S463" s="160"/>
      <c r="T463" s="11"/>
    </row>
    <row r="464" spans="1:20" ht="12.75">
      <c r="A464" s="164"/>
      <c r="B464" s="145"/>
      <c r="C464" s="70"/>
      <c r="D464" s="70"/>
      <c r="E464" s="60"/>
      <c r="F464" s="12"/>
      <c r="G464" s="42" t="s">
        <v>111</v>
      </c>
      <c r="H464" s="13">
        <f t="shared" si="126"/>
        <v>0</v>
      </c>
      <c r="I464" s="13">
        <f t="shared" si="127"/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59"/>
      <c r="S464" s="160"/>
      <c r="T464" s="11"/>
    </row>
    <row r="465" spans="1:20" ht="12.75">
      <c r="A465" s="164"/>
      <c r="B465" s="145"/>
      <c r="C465" s="70"/>
      <c r="D465" s="70"/>
      <c r="E465" s="60"/>
      <c r="F465" s="12"/>
      <c r="G465" s="42" t="s">
        <v>112</v>
      </c>
      <c r="H465" s="13">
        <f t="shared" si="126"/>
        <v>0</v>
      </c>
      <c r="I465" s="13">
        <f t="shared" si="127"/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59"/>
      <c r="S465" s="160"/>
      <c r="T465" s="11"/>
    </row>
    <row r="466" spans="1:20" ht="12.75">
      <c r="A466" s="164"/>
      <c r="B466" s="145"/>
      <c r="C466" s="70"/>
      <c r="D466" s="70"/>
      <c r="E466" s="60"/>
      <c r="F466" s="12"/>
      <c r="G466" s="12" t="s">
        <v>113</v>
      </c>
      <c r="H466" s="13">
        <f t="shared" si="126"/>
        <v>0</v>
      </c>
      <c r="I466" s="13">
        <f t="shared" si="127"/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59"/>
      <c r="S466" s="160"/>
      <c r="T466" s="11"/>
    </row>
    <row r="467" spans="1:20" ht="12.75">
      <c r="A467" s="165"/>
      <c r="B467" s="146"/>
      <c r="C467" s="71"/>
      <c r="D467" s="71"/>
      <c r="E467" s="61"/>
      <c r="F467" s="12"/>
      <c r="G467" s="42" t="s">
        <v>72</v>
      </c>
      <c r="H467" s="13">
        <f t="shared" si="126"/>
        <v>0</v>
      </c>
      <c r="I467" s="13">
        <f t="shared" si="127"/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61"/>
      <c r="S467" s="162"/>
      <c r="T467" s="11"/>
    </row>
    <row r="468" spans="1:20" ht="12.75">
      <c r="A468" s="163">
        <v>36</v>
      </c>
      <c r="B468" s="144" t="s">
        <v>147</v>
      </c>
      <c r="C468" s="70"/>
      <c r="D468" s="70"/>
      <c r="E468" s="60"/>
      <c r="F468" s="12"/>
      <c r="G468" s="41" t="s">
        <v>9</v>
      </c>
      <c r="H468" s="13">
        <f>SUM(H469:H479)</f>
        <v>1557.4</v>
      </c>
      <c r="I468" s="13">
        <f>SUM(I469:I479)</f>
        <v>1557.4</v>
      </c>
      <c r="J468" s="13">
        <f aca="true" t="shared" si="128" ref="J468:Q468">SUM(J469:J479)</f>
        <v>1557.4</v>
      </c>
      <c r="K468" s="13">
        <f t="shared" si="128"/>
        <v>1557.4</v>
      </c>
      <c r="L468" s="13">
        <f t="shared" si="128"/>
        <v>0</v>
      </c>
      <c r="M468" s="13">
        <f t="shared" si="128"/>
        <v>0</v>
      </c>
      <c r="N468" s="13">
        <f t="shared" si="128"/>
        <v>0</v>
      </c>
      <c r="O468" s="13">
        <f t="shared" si="128"/>
        <v>0</v>
      </c>
      <c r="P468" s="13">
        <f t="shared" si="128"/>
        <v>0</v>
      </c>
      <c r="Q468" s="13">
        <f t="shared" si="128"/>
        <v>0</v>
      </c>
      <c r="R468" s="157" t="s">
        <v>36</v>
      </c>
      <c r="S468" s="158"/>
      <c r="T468" s="11"/>
    </row>
    <row r="469" spans="1:20" ht="12.75">
      <c r="A469" s="164"/>
      <c r="B469" s="145"/>
      <c r="C469" s="70"/>
      <c r="D469" s="70"/>
      <c r="E469" s="60"/>
      <c r="F469" s="12"/>
      <c r="G469" s="42" t="s">
        <v>13</v>
      </c>
      <c r="H469" s="13">
        <f>SUM(J469+L469+N469+P469)</f>
        <v>0</v>
      </c>
      <c r="I469" s="13">
        <f>SUM(K469+M469+O469+Q469)</f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59"/>
      <c r="S469" s="160"/>
      <c r="T469" s="11"/>
    </row>
    <row r="470" spans="1:20" ht="12.75">
      <c r="A470" s="164"/>
      <c r="B470" s="145"/>
      <c r="C470" s="70"/>
      <c r="D470" s="70"/>
      <c r="E470" s="60"/>
      <c r="F470" s="12"/>
      <c r="G470" s="42" t="s">
        <v>11</v>
      </c>
      <c r="H470" s="13">
        <f aca="true" t="shared" si="129" ref="H470:I479">SUM(J470+L470+N470+P470)</f>
        <v>0</v>
      </c>
      <c r="I470" s="13">
        <f t="shared" si="129"/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59"/>
      <c r="S470" s="160"/>
      <c r="T470" s="11"/>
    </row>
    <row r="471" spans="1:20" ht="12.75">
      <c r="A471" s="164"/>
      <c r="B471" s="145"/>
      <c r="C471" s="70"/>
      <c r="D471" s="70"/>
      <c r="E471" s="60"/>
      <c r="F471" s="12"/>
      <c r="G471" s="42" t="s">
        <v>12</v>
      </c>
      <c r="H471" s="13">
        <f t="shared" si="129"/>
        <v>0</v>
      </c>
      <c r="I471" s="13">
        <f t="shared" si="129"/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59"/>
      <c r="S471" s="160"/>
      <c r="T471" s="11"/>
    </row>
    <row r="472" spans="1:20" ht="12.75">
      <c r="A472" s="164"/>
      <c r="B472" s="145"/>
      <c r="C472" s="70"/>
      <c r="D472" s="70"/>
      <c r="E472" s="60"/>
      <c r="F472" s="12"/>
      <c r="G472" s="42" t="s">
        <v>14</v>
      </c>
      <c r="H472" s="13">
        <f t="shared" si="129"/>
        <v>0</v>
      </c>
      <c r="I472" s="13">
        <f t="shared" si="129"/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59"/>
      <c r="S472" s="160"/>
      <c r="T472" s="11"/>
    </row>
    <row r="473" spans="1:20" ht="12.75">
      <c r="A473" s="164"/>
      <c r="B473" s="145"/>
      <c r="C473" s="88"/>
      <c r="D473" s="88"/>
      <c r="E473" s="60" t="s">
        <v>51</v>
      </c>
      <c r="F473" s="12"/>
      <c r="G473" s="42" t="s">
        <v>15</v>
      </c>
      <c r="H473" s="13">
        <f t="shared" si="129"/>
        <v>1557.4</v>
      </c>
      <c r="I473" s="13">
        <f t="shared" si="129"/>
        <v>1557.4</v>
      </c>
      <c r="J473" s="13">
        <v>1557.4</v>
      </c>
      <c r="K473" s="13">
        <v>1557.4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59"/>
      <c r="S473" s="160"/>
      <c r="T473" s="11"/>
    </row>
    <row r="474" spans="1:20" ht="12.75">
      <c r="A474" s="164"/>
      <c r="B474" s="145"/>
      <c r="C474" s="70"/>
      <c r="D474" s="70"/>
      <c r="E474" s="60"/>
      <c r="F474" s="12"/>
      <c r="G474" s="12" t="s">
        <v>61</v>
      </c>
      <c r="H474" s="13">
        <f t="shared" si="129"/>
        <v>0</v>
      </c>
      <c r="I474" s="13">
        <f t="shared" si="129"/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59"/>
      <c r="S474" s="160"/>
      <c r="T474" s="11"/>
    </row>
    <row r="475" spans="1:20" ht="12.75">
      <c r="A475" s="164"/>
      <c r="B475" s="145"/>
      <c r="C475" s="70"/>
      <c r="D475" s="70"/>
      <c r="E475" s="60"/>
      <c r="F475" s="12"/>
      <c r="G475" s="42" t="s">
        <v>110</v>
      </c>
      <c r="H475" s="13">
        <f t="shared" si="129"/>
        <v>0</v>
      </c>
      <c r="I475" s="13">
        <f t="shared" si="129"/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59"/>
      <c r="S475" s="160"/>
      <c r="T475" s="11"/>
    </row>
    <row r="476" spans="1:20" ht="12.75">
      <c r="A476" s="164"/>
      <c r="B476" s="145"/>
      <c r="C476" s="70"/>
      <c r="D476" s="70"/>
      <c r="E476" s="60"/>
      <c r="F476" s="12"/>
      <c r="G476" s="42" t="s">
        <v>111</v>
      </c>
      <c r="H476" s="13">
        <f t="shared" si="129"/>
        <v>0</v>
      </c>
      <c r="I476" s="13">
        <f t="shared" si="129"/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59"/>
      <c r="S476" s="160"/>
      <c r="T476" s="11"/>
    </row>
    <row r="477" spans="1:20" ht="12.75">
      <c r="A477" s="164"/>
      <c r="B477" s="145"/>
      <c r="C477" s="70"/>
      <c r="D477" s="70"/>
      <c r="E477" s="60"/>
      <c r="F477" s="12"/>
      <c r="G477" s="42" t="s">
        <v>112</v>
      </c>
      <c r="H477" s="13">
        <f t="shared" si="129"/>
        <v>0</v>
      </c>
      <c r="I477" s="13">
        <f t="shared" si="129"/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59"/>
      <c r="S477" s="160"/>
      <c r="T477" s="11"/>
    </row>
    <row r="478" spans="1:20" ht="12.75">
      <c r="A478" s="164"/>
      <c r="B478" s="145"/>
      <c r="C478" s="70"/>
      <c r="D478" s="70"/>
      <c r="E478" s="60"/>
      <c r="F478" s="12"/>
      <c r="G478" s="12" t="s">
        <v>113</v>
      </c>
      <c r="H478" s="13">
        <f t="shared" si="129"/>
        <v>0</v>
      </c>
      <c r="I478" s="13">
        <f t="shared" si="129"/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59"/>
      <c r="S478" s="160"/>
      <c r="T478" s="11"/>
    </row>
    <row r="479" spans="1:20" ht="12.75">
      <c r="A479" s="165"/>
      <c r="B479" s="146"/>
      <c r="C479" s="70"/>
      <c r="D479" s="70"/>
      <c r="E479" s="60"/>
      <c r="F479" s="12"/>
      <c r="G479" s="42" t="s">
        <v>72</v>
      </c>
      <c r="H479" s="13">
        <f t="shared" si="129"/>
        <v>0</v>
      </c>
      <c r="I479" s="13">
        <f t="shared" si="129"/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61"/>
      <c r="S479" s="162"/>
      <c r="T479" s="11"/>
    </row>
    <row r="480" spans="1:20" ht="12.75" customHeight="1">
      <c r="A480" s="163">
        <v>37</v>
      </c>
      <c r="B480" s="144" t="s">
        <v>67</v>
      </c>
      <c r="C480" s="69"/>
      <c r="D480" s="69"/>
      <c r="E480" s="59"/>
      <c r="F480" s="12"/>
      <c r="G480" s="41" t="s">
        <v>9</v>
      </c>
      <c r="H480" s="10">
        <f aca="true" t="shared" si="130" ref="H480:Q480">SUM(H481:H491)</f>
        <v>1200</v>
      </c>
      <c r="I480" s="10">
        <f t="shared" si="130"/>
        <v>0</v>
      </c>
      <c r="J480" s="10">
        <f t="shared" si="130"/>
        <v>1200</v>
      </c>
      <c r="K480" s="10">
        <f t="shared" si="130"/>
        <v>0</v>
      </c>
      <c r="L480" s="10">
        <f t="shared" si="130"/>
        <v>0</v>
      </c>
      <c r="M480" s="10">
        <f t="shared" si="130"/>
        <v>0</v>
      </c>
      <c r="N480" s="10">
        <f t="shared" si="130"/>
        <v>0</v>
      </c>
      <c r="O480" s="10">
        <f t="shared" si="130"/>
        <v>0</v>
      </c>
      <c r="P480" s="10">
        <f t="shared" si="130"/>
        <v>0</v>
      </c>
      <c r="Q480" s="10">
        <f t="shared" si="130"/>
        <v>0</v>
      </c>
      <c r="R480" s="157" t="s">
        <v>36</v>
      </c>
      <c r="S480" s="158"/>
      <c r="T480" s="11"/>
    </row>
    <row r="481" spans="1:20" ht="12.75">
      <c r="A481" s="164"/>
      <c r="B481" s="145"/>
      <c r="C481" s="70"/>
      <c r="D481" s="70"/>
      <c r="E481" s="60"/>
      <c r="F481" s="12"/>
      <c r="G481" s="42" t="s">
        <v>13</v>
      </c>
      <c r="H481" s="13">
        <f>J481+L481+N481+P481</f>
        <v>0</v>
      </c>
      <c r="I481" s="13">
        <f>K481+M481+O481+Q481</f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59"/>
      <c r="S481" s="160"/>
      <c r="T481" s="11"/>
    </row>
    <row r="482" spans="1:20" ht="12.75">
      <c r="A482" s="164"/>
      <c r="B482" s="145"/>
      <c r="C482" s="70"/>
      <c r="D482" s="70"/>
      <c r="E482" s="60"/>
      <c r="F482" s="12"/>
      <c r="G482" s="42" t="s">
        <v>11</v>
      </c>
      <c r="H482" s="13">
        <f aca="true" t="shared" si="131" ref="H482:I486">J482+L482+N482+P482</f>
        <v>0</v>
      </c>
      <c r="I482" s="13">
        <f t="shared" si="131"/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59"/>
      <c r="S482" s="160"/>
      <c r="T482" s="11"/>
    </row>
    <row r="483" spans="1:20" ht="12.75">
      <c r="A483" s="164"/>
      <c r="B483" s="145"/>
      <c r="C483" s="70"/>
      <c r="D483" s="70"/>
      <c r="E483" s="60"/>
      <c r="F483" s="12"/>
      <c r="G483" s="42" t="s">
        <v>12</v>
      </c>
      <c r="H483" s="13">
        <f t="shared" si="131"/>
        <v>0</v>
      </c>
      <c r="I483" s="13">
        <f t="shared" si="131"/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59"/>
      <c r="S483" s="160"/>
      <c r="T483" s="11"/>
    </row>
    <row r="484" spans="1:20" ht="12.75">
      <c r="A484" s="164"/>
      <c r="B484" s="145"/>
      <c r="C484" s="70"/>
      <c r="D484" s="70"/>
      <c r="E484" s="60"/>
      <c r="F484" s="12"/>
      <c r="G484" s="42" t="s">
        <v>14</v>
      </c>
      <c r="H484" s="13">
        <f t="shared" si="131"/>
        <v>0</v>
      </c>
      <c r="I484" s="13">
        <f t="shared" si="131"/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59"/>
      <c r="S484" s="160"/>
      <c r="T484" s="11"/>
    </row>
    <row r="485" spans="1:20" ht="12.75">
      <c r="A485" s="164"/>
      <c r="B485" s="145"/>
      <c r="C485" s="70"/>
      <c r="D485" s="70"/>
      <c r="E485" s="60" t="s">
        <v>51</v>
      </c>
      <c r="F485" s="12"/>
      <c r="G485" s="42" t="s">
        <v>15</v>
      </c>
      <c r="H485" s="13">
        <f t="shared" si="131"/>
        <v>0</v>
      </c>
      <c r="I485" s="13">
        <f t="shared" si="131"/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59"/>
      <c r="S485" s="160"/>
      <c r="T485" s="11"/>
    </row>
    <row r="486" spans="1:20" ht="12.75">
      <c r="A486" s="164"/>
      <c r="B486" s="145"/>
      <c r="C486" s="70"/>
      <c r="D486" s="70"/>
      <c r="E486" s="60"/>
      <c r="F486" s="12"/>
      <c r="G486" s="12" t="s">
        <v>61</v>
      </c>
      <c r="H486" s="13">
        <f t="shared" si="131"/>
        <v>1200</v>
      </c>
      <c r="I486" s="13">
        <f t="shared" si="131"/>
        <v>0</v>
      </c>
      <c r="J486" s="13">
        <v>1200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59"/>
      <c r="S486" s="160"/>
      <c r="T486" s="11"/>
    </row>
    <row r="487" spans="1:20" ht="12.75">
      <c r="A487" s="164"/>
      <c r="B487" s="145"/>
      <c r="C487" s="70"/>
      <c r="D487" s="70"/>
      <c r="E487" s="60"/>
      <c r="F487" s="12"/>
      <c r="G487" s="42" t="s">
        <v>110</v>
      </c>
      <c r="H487" s="13">
        <f aca="true" t="shared" si="132" ref="H487:I491">J487+L487+N487+P487</f>
        <v>0</v>
      </c>
      <c r="I487" s="13">
        <f t="shared" si="132"/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59"/>
      <c r="S487" s="160"/>
      <c r="T487" s="11"/>
    </row>
    <row r="488" spans="1:20" ht="12.75">
      <c r="A488" s="164"/>
      <c r="B488" s="145"/>
      <c r="C488" s="70"/>
      <c r="D488" s="70"/>
      <c r="E488" s="60"/>
      <c r="F488" s="12"/>
      <c r="G488" s="42" t="s">
        <v>111</v>
      </c>
      <c r="H488" s="13">
        <f t="shared" si="132"/>
        <v>0</v>
      </c>
      <c r="I488" s="13">
        <f t="shared" si="132"/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59"/>
      <c r="S488" s="160"/>
      <c r="T488" s="11"/>
    </row>
    <row r="489" spans="1:20" ht="12.75">
      <c r="A489" s="164"/>
      <c r="B489" s="145"/>
      <c r="C489" s="70"/>
      <c r="D489" s="70"/>
      <c r="E489" s="60"/>
      <c r="F489" s="12"/>
      <c r="G489" s="42" t="s">
        <v>112</v>
      </c>
      <c r="H489" s="13">
        <f t="shared" si="132"/>
        <v>0</v>
      </c>
      <c r="I489" s="13">
        <f t="shared" si="132"/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59"/>
      <c r="S489" s="160"/>
      <c r="T489" s="11"/>
    </row>
    <row r="490" spans="1:20" ht="12.75">
      <c r="A490" s="164"/>
      <c r="B490" s="145"/>
      <c r="C490" s="70"/>
      <c r="D490" s="70"/>
      <c r="E490" s="60"/>
      <c r="F490" s="12"/>
      <c r="G490" s="12" t="s">
        <v>113</v>
      </c>
      <c r="H490" s="13">
        <f t="shared" si="132"/>
        <v>0</v>
      </c>
      <c r="I490" s="13">
        <f t="shared" si="132"/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59"/>
      <c r="S490" s="160"/>
      <c r="T490" s="11"/>
    </row>
    <row r="491" spans="1:20" ht="12.75">
      <c r="A491" s="165"/>
      <c r="B491" s="146"/>
      <c r="C491" s="70"/>
      <c r="D491" s="70"/>
      <c r="E491" s="60"/>
      <c r="F491" s="12"/>
      <c r="G491" s="42" t="s">
        <v>72</v>
      </c>
      <c r="H491" s="13">
        <f t="shared" si="132"/>
        <v>0</v>
      </c>
      <c r="I491" s="13">
        <f t="shared" si="132"/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61"/>
      <c r="S491" s="162"/>
      <c r="T491" s="11"/>
    </row>
    <row r="492" spans="1:20" ht="12.75" customHeight="1">
      <c r="A492" s="163">
        <v>38</v>
      </c>
      <c r="B492" s="144" t="s">
        <v>66</v>
      </c>
      <c r="C492" s="69"/>
      <c r="D492" s="69"/>
      <c r="E492" s="59"/>
      <c r="F492" s="12"/>
      <c r="G492" s="41" t="s">
        <v>9</v>
      </c>
      <c r="H492" s="10">
        <f aca="true" t="shared" si="133" ref="H492:Q492">SUM(H493:H503)</f>
        <v>1000</v>
      </c>
      <c r="I492" s="10">
        <f t="shared" si="133"/>
        <v>0</v>
      </c>
      <c r="J492" s="10">
        <f t="shared" si="133"/>
        <v>1000</v>
      </c>
      <c r="K492" s="10">
        <f t="shared" si="133"/>
        <v>0</v>
      </c>
      <c r="L492" s="10">
        <f t="shared" si="133"/>
        <v>0</v>
      </c>
      <c r="M492" s="10">
        <f t="shared" si="133"/>
        <v>0</v>
      </c>
      <c r="N492" s="10">
        <f t="shared" si="133"/>
        <v>0</v>
      </c>
      <c r="O492" s="10">
        <f t="shared" si="133"/>
        <v>0</v>
      </c>
      <c r="P492" s="10">
        <f t="shared" si="133"/>
        <v>0</v>
      </c>
      <c r="Q492" s="10">
        <f t="shared" si="133"/>
        <v>0</v>
      </c>
      <c r="R492" s="157" t="s">
        <v>36</v>
      </c>
      <c r="S492" s="158"/>
      <c r="T492" s="11"/>
    </row>
    <row r="493" spans="1:20" ht="12.75">
      <c r="A493" s="164"/>
      <c r="B493" s="145"/>
      <c r="C493" s="70"/>
      <c r="D493" s="70"/>
      <c r="E493" s="60"/>
      <c r="F493" s="12"/>
      <c r="G493" s="42" t="s">
        <v>13</v>
      </c>
      <c r="H493" s="13">
        <f>J493+L493+N493+P493</f>
        <v>0</v>
      </c>
      <c r="I493" s="13">
        <f>K493+M493+O493+Q493</f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59"/>
      <c r="S493" s="160"/>
      <c r="T493" s="11"/>
    </row>
    <row r="494" spans="1:20" ht="12.75">
      <c r="A494" s="164"/>
      <c r="B494" s="145"/>
      <c r="C494" s="70"/>
      <c r="D494" s="70"/>
      <c r="E494" s="60"/>
      <c r="F494" s="12"/>
      <c r="G494" s="42" t="s">
        <v>11</v>
      </c>
      <c r="H494" s="13">
        <f aca="true" t="shared" si="134" ref="H494:I496">J494+L494+N494+P494</f>
        <v>0</v>
      </c>
      <c r="I494" s="13">
        <f t="shared" si="134"/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59"/>
      <c r="S494" s="160"/>
      <c r="T494" s="11"/>
    </row>
    <row r="495" spans="1:20" ht="12.75">
      <c r="A495" s="164"/>
      <c r="B495" s="145"/>
      <c r="C495" s="70"/>
      <c r="D495" s="70"/>
      <c r="E495" s="60"/>
      <c r="F495" s="12"/>
      <c r="G495" s="42" t="s">
        <v>12</v>
      </c>
      <c r="H495" s="13">
        <f t="shared" si="134"/>
        <v>0</v>
      </c>
      <c r="I495" s="13">
        <f t="shared" si="134"/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59"/>
      <c r="S495" s="160"/>
      <c r="T495" s="11"/>
    </row>
    <row r="496" spans="1:20" ht="12.75">
      <c r="A496" s="164"/>
      <c r="B496" s="145"/>
      <c r="C496" s="70"/>
      <c r="D496" s="70"/>
      <c r="E496" s="60"/>
      <c r="F496" s="12"/>
      <c r="G496" s="42" t="s">
        <v>14</v>
      </c>
      <c r="H496" s="13">
        <f t="shared" si="134"/>
        <v>0</v>
      </c>
      <c r="I496" s="13">
        <f t="shared" si="134"/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59"/>
      <c r="S496" s="160"/>
      <c r="T496" s="11"/>
    </row>
    <row r="497" spans="1:20" ht="12.75">
      <c r="A497" s="164"/>
      <c r="B497" s="145"/>
      <c r="C497" s="70"/>
      <c r="D497" s="70"/>
      <c r="E497" s="60" t="s">
        <v>51</v>
      </c>
      <c r="F497" s="12"/>
      <c r="G497" s="42" t="s">
        <v>15</v>
      </c>
      <c r="H497" s="13">
        <f aca="true" t="shared" si="135" ref="H497:I499">J497+L497+N497+P497</f>
        <v>0</v>
      </c>
      <c r="I497" s="13">
        <f t="shared" si="135"/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59"/>
      <c r="S497" s="160"/>
      <c r="T497" s="11"/>
    </row>
    <row r="498" spans="1:20" ht="12.75">
      <c r="A498" s="164"/>
      <c r="B498" s="145"/>
      <c r="C498" s="70"/>
      <c r="D498" s="70"/>
      <c r="E498" s="60"/>
      <c r="F498" s="12"/>
      <c r="G498" s="12" t="s">
        <v>61</v>
      </c>
      <c r="H498" s="13">
        <f t="shared" si="135"/>
        <v>1000</v>
      </c>
      <c r="I498" s="13">
        <f t="shared" si="135"/>
        <v>0</v>
      </c>
      <c r="J498" s="13">
        <v>1000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59"/>
      <c r="S498" s="160"/>
      <c r="T498" s="11"/>
    </row>
    <row r="499" spans="1:20" ht="12.75">
      <c r="A499" s="164"/>
      <c r="B499" s="145"/>
      <c r="C499" s="70"/>
      <c r="D499" s="70"/>
      <c r="E499" s="60"/>
      <c r="F499" s="12"/>
      <c r="G499" s="42" t="s">
        <v>110</v>
      </c>
      <c r="H499" s="13">
        <f t="shared" si="135"/>
        <v>0</v>
      </c>
      <c r="I499" s="13">
        <f t="shared" si="135"/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59"/>
      <c r="S499" s="160"/>
      <c r="T499" s="11"/>
    </row>
    <row r="500" spans="1:20" ht="12.75">
      <c r="A500" s="164"/>
      <c r="B500" s="145"/>
      <c r="C500" s="70"/>
      <c r="D500" s="70"/>
      <c r="E500" s="60"/>
      <c r="F500" s="12"/>
      <c r="G500" s="42" t="s">
        <v>111</v>
      </c>
      <c r="H500" s="13">
        <f aca="true" t="shared" si="136" ref="H500:I503">J500+L500+N500+P500</f>
        <v>0</v>
      </c>
      <c r="I500" s="13">
        <f t="shared" si="136"/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59"/>
      <c r="S500" s="160"/>
      <c r="T500" s="11"/>
    </row>
    <row r="501" spans="1:20" ht="12.75">
      <c r="A501" s="164"/>
      <c r="B501" s="145"/>
      <c r="C501" s="70"/>
      <c r="D501" s="70"/>
      <c r="E501" s="60"/>
      <c r="F501" s="12"/>
      <c r="G501" s="42" t="s">
        <v>112</v>
      </c>
      <c r="H501" s="13">
        <f t="shared" si="136"/>
        <v>0</v>
      </c>
      <c r="I501" s="13">
        <f t="shared" si="136"/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59"/>
      <c r="S501" s="160"/>
      <c r="T501" s="11"/>
    </row>
    <row r="502" spans="1:20" ht="12.75">
      <c r="A502" s="164"/>
      <c r="B502" s="145"/>
      <c r="C502" s="70"/>
      <c r="D502" s="70"/>
      <c r="E502" s="60"/>
      <c r="F502" s="12"/>
      <c r="G502" s="42" t="s">
        <v>113</v>
      </c>
      <c r="H502" s="13">
        <f t="shared" si="136"/>
        <v>0</v>
      </c>
      <c r="I502" s="13">
        <f t="shared" si="136"/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59"/>
      <c r="S502" s="160"/>
      <c r="T502" s="11"/>
    </row>
    <row r="503" spans="1:20" ht="12.75">
      <c r="A503" s="165"/>
      <c r="B503" s="146"/>
      <c r="C503" s="70"/>
      <c r="D503" s="70"/>
      <c r="E503" s="60"/>
      <c r="F503" s="12"/>
      <c r="G503" s="12" t="s">
        <v>72</v>
      </c>
      <c r="H503" s="13">
        <f t="shared" si="136"/>
        <v>0</v>
      </c>
      <c r="I503" s="13">
        <f t="shared" si="136"/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61"/>
      <c r="S503" s="162"/>
      <c r="T503" s="11"/>
    </row>
    <row r="504" spans="1:20" ht="12.75" customHeight="1">
      <c r="A504" s="163">
        <v>39</v>
      </c>
      <c r="B504" s="144" t="s">
        <v>68</v>
      </c>
      <c r="C504" s="69"/>
      <c r="D504" s="69"/>
      <c r="E504" s="59"/>
      <c r="F504" s="12"/>
      <c r="G504" s="41" t="s">
        <v>9</v>
      </c>
      <c r="H504" s="10">
        <f aca="true" t="shared" si="137" ref="H504:Q504">SUM(H505:H515)</f>
        <v>1000</v>
      </c>
      <c r="I504" s="10">
        <f t="shared" si="137"/>
        <v>0</v>
      </c>
      <c r="J504" s="10">
        <f t="shared" si="137"/>
        <v>1000</v>
      </c>
      <c r="K504" s="10">
        <f t="shared" si="137"/>
        <v>0</v>
      </c>
      <c r="L504" s="10">
        <f t="shared" si="137"/>
        <v>0</v>
      </c>
      <c r="M504" s="10">
        <f t="shared" si="137"/>
        <v>0</v>
      </c>
      <c r="N504" s="10">
        <f t="shared" si="137"/>
        <v>0</v>
      </c>
      <c r="O504" s="10">
        <f t="shared" si="137"/>
        <v>0</v>
      </c>
      <c r="P504" s="10">
        <f t="shared" si="137"/>
        <v>0</v>
      </c>
      <c r="Q504" s="10">
        <f t="shared" si="137"/>
        <v>0</v>
      </c>
      <c r="R504" s="157" t="s">
        <v>36</v>
      </c>
      <c r="S504" s="158"/>
      <c r="T504" s="11"/>
    </row>
    <row r="505" spans="1:20" ht="12.75">
      <c r="A505" s="164"/>
      <c r="B505" s="145"/>
      <c r="C505" s="70"/>
      <c r="D505" s="70"/>
      <c r="E505" s="60"/>
      <c r="F505" s="12"/>
      <c r="G505" s="42" t="s">
        <v>13</v>
      </c>
      <c r="H505" s="13">
        <f>J505+L505+N505+P505</f>
        <v>0</v>
      </c>
      <c r="I505" s="13">
        <f>K505+M505+O505+Q505</f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59"/>
      <c r="S505" s="160"/>
      <c r="T505" s="11"/>
    </row>
    <row r="506" spans="1:20" ht="12.75">
      <c r="A506" s="164"/>
      <c r="B506" s="145"/>
      <c r="C506" s="70"/>
      <c r="D506" s="70"/>
      <c r="E506" s="60"/>
      <c r="F506" s="12"/>
      <c r="G506" s="42" t="s">
        <v>11</v>
      </c>
      <c r="H506" s="13">
        <f aca="true" t="shared" si="138" ref="H506:I511">J506+L506+N506+P506</f>
        <v>0</v>
      </c>
      <c r="I506" s="13">
        <f t="shared" si="138"/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59"/>
      <c r="S506" s="160"/>
      <c r="T506" s="11"/>
    </row>
    <row r="507" spans="1:20" ht="12.75">
      <c r="A507" s="164"/>
      <c r="B507" s="145"/>
      <c r="C507" s="70"/>
      <c r="D507" s="70"/>
      <c r="E507" s="60"/>
      <c r="F507" s="12"/>
      <c r="G507" s="42" t="s">
        <v>12</v>
      </c>
      <c r="H507" s="13">
        <f t="shared" si="138"/>
        <v>0</v>
      </c>
      <c r="I507" s="13">
        <f t="shared" si="138"/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59"/>
      <c r="S507" s="160"/>
      <c r="T507" s="11"/>
    </row>
    <row r="508" spans="1:20" ht="12.75">
      <c r="A508" s="164"/>
      <c r="B508" s="145"/>
      <c r="C508" s="70"/>
      <c r="D508" s="70"/>
      <c r="E508" s="60"/>
      <c r="F508" s="12"/>
      <c r="G508" s="42" t="s">
        <v>14</v>
      </c>
      <c r="H508" s="13">
        <f t="shared" si="138"/>
        <v>0</v>
      </c>
      <c r="I508" s="13">
        <f t="shared" si="138"/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59"/>
      <c r="S508" s="160"/>
      <c r="T508" s="11"/>
    </row>
    <row r="509" spans="1:20" ht="12.75">
      <c r="A509" s="164"/>
      <c r="B509" s="145"/>
      <c r="C509" s="70"/>
      <c r="D509" s="70"/>
      <c r="E509" s="60" t="s">
        <v>51</v>
      </c>
      <c r="F509" s="12"/>
      <c r="G509" s="42" t="s">
        <v>15</v>
      </c>
      <c r="H509" s="13">
        <f t="shared" si="138"/>
        <v>0</v>
      </c>
      <c r="I509" s="13">
        <f t="shared" si="138"/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59"/>
      <c r="S509" s="160"/>
      <c r="T509" s="11"/>
    </row>
    <row r="510" spans="1:20" ht="12.75">
      <c r="A510" s="164"/>
      <c r="B510" s="145"/>
      <c r="C510" s="70"/>
      <c r="D510" s="70"/>
      <c r="E510" s="60"/>
      <c r="F510" s="12"/>
      <c r="G510" s="12" t="s">
        <v>61</v>
      </c>
      <c r="H510" s="13">
        <f t="shared" si="138"/>
        <v>1000</v>
      </c>
      <c r="I510" s="13">
        <f t="shared" si="138"/>
        <v>0</v>
      </c>
      <c r="J510" s="13">
        <v>1000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59"/>
      <c r="S510" s="160"/>
      <c r="T510" s="11"/>
    </row>
    <row r="511" spans="1:20" ht="12.75">
      <c r="A511" s="164"/>
      <c r="B511" s="159"/>
      <c r="C511" s="73"/>
      <c r="D511" s="73"/>
      <c r="E511" s="60"/>
      <c r="F511" s="12"/>
      <c r="G511" s="42" t="s">
        <v>110</v>
      </c>
      <c r="H511" s="13">
        <f t="shared" si="138"/>
        <v>0</v>
      </c>
      <c r="I511" s="13">
        <f t="shared" si="138"/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59"/>
      <c r="S511" s="160"/>
      <c r="T511" s="11"/>
    </row>
    <row r="512" spans="1:20" ht="12.75">
      <c r="A512" s="164"/>
      <c r="B512" s="145"/>
      <c r="C512" s="70"/>
      <c r="D512" s="70"/>
      <c r="E512" s="60"/>
      <c r="F512" s="12"/>
      <c r="G512" s="42" t="s">
        <v>111</v>
      </c>
      <c r="H512" s="13">
        <f aca="true" t="shared" si="139" ref="H512:I516">J512+L512+N512+P512</f>
        <v>0</v>
      </c>
      <c r="I512" s="13">
        <f t="shared" si="139"/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59"/>
      <c r="S512" s="160"/>
      <c r="T512" s="11"/>
    </row>
    <row r="513" spans="1:20" ht="12.75">
      <c r="A513" s="164"/>
      <c r="B513" s="145"/>
      <c r="C513" s="70"/>
      <c r="D513" s="70"/>
      <c r="E513" s="60"/>
      <c r="F513" s="12"/>
      <c r="G513" s="42" t="s">
        <v>112</v>
      </c>
      <c r="H513" s="13">
        <f t="shared" si="139"/>
        <v>0</v>
      </c>
      <c r="I513" s="13">
        <f t="shared" si="139"/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59"/>
      <c r="S513" s="160"/>
      <c r="T513" s="11"/>
    </row>
    <row r="514" spans="1:20" ht="12.75">
      <c r="A514" s="164"/>
      <c r="B514" s="145"/>
      <c r="C514" s="70"/>
      <c r="D514" s="70"/>
      <c r="E514" s="60"/>
      <c r="F514" s="12"/>
      <c r="G514" s="12" t="s">
        <v>113</v>
      </c>
      <c r="H514" s="13">
        <f t="shared" si="139"/>
        <v>0</v>
      </c>
      <c r="I514" s="13">
        <f t="shared" si="139"/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59"/>
      <c r="S514" s="160"/>
      <c r="T514" s="11"/>
    </row>
    <row r="515" spans="1:20" ht="12.75">
      <c r="A515" s="164"/>
      <c r="B515" s="145"/>
      <c r="C515" s="70"/>
      <c r="D515" s="70"/>
      <c r="E515" s="60"/>
      <c r="F515" s="12"/>
      <c r="G515" s="42" t="s">
        <v>72</v>
      </c>
      <c r="H515" s="13">
        <f t="shared" si="139"/>
        <v>0</v>
      </c>
      <c r="I515" s="13">
        <f t="shared" si="139"/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59"/>
      <c r="S515" s="160"/>
      <c r="T515" s="11"/>
    </row>
    <row r="516" spans="1:20" ht="12.75">
      <c r="A516" s="165"/>
      <c r="B516" s="146"/>
      <c r="C516" s="70"/>
      <c r="D516" s="70"/>
      <c r="E516" s="60"/>
      <c r="F516" s="12"/>
      <c r="G516" s="42" t="s">
        <v>114</v>
      </c>
      <c r="H516" s="13">
        <f t="shared" si="139"/>
        <v>0</v>
      </c>
      <c r="I516" s="13">
        <f t="shared" si="139"/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61"/>
      <c r="S516" s="162"/>
      <c r="T516" s="11"/>
    </row>
    <row r="517" spans="1:20" ht="12.75" customHeight="1">
      <c r="A517" s="163">
        <v>40</v>
      </c>
      <c r="B517" s="144" t="s">
        <v>118</v>
      </c>
      <c r="C517" s="69"/>
      <c r="D517" s="69"/>
      <c r="E517" s="59"/>
      <c r="F517" s="12"/>
      <c r="G517" s="41" t="s">
        <v>9</v>
      </c>
      <c r="H517" s="10">
        <f aca="true" t="shared" si="140" ref="H517:Q517">SUM(H518:H528)</f>
        <v>0</v>
      </c>
      <c r="I517" s="10">
        <f t="shared" si="140"/>
        <v>0</v>
      </c>
      <c r="J517" s="10">
        <f t="shared" si="140"/>
        <v>0</v>
      </c>
      <c r="K517" s="10">
        <f t="shared" si="140"/>
        <v>0</v>
      </c>
      <c r="L517" s="10">
        <f t="shared" si="140"/>
        <v>0</v>
      </c>
      <c r="M517" s="10">
        <f t="shared" si="140"/>
        <v>0</v>
      </c>
      <c r="N517" s="10">
        <f t="shared" si="140"/>
        <v>0</v>
      </c>
      <c r="O517" s="10">
        <f t="shared" si="140"/>
        <v>0</v>
      </c>
      <c r="P517" s="10">
        <f t="shared" si="140"/>
        <v>0</v>
      </c>
      <c r="Q517" s="10">
        <f t="shared" si="140"/>
        <v>0</v>
      </c>
      <c r="R517" s="157" t="s">
        <v>36</v>
      </c>
      <c r="S517" s="158"/>
      <c r="T517" s="11"/>
    </row>
    <row r="518" spans="1:20" ht="12.75">
      <c r="A518" s="164"/>
      <c r="B518" s="145"/>
      <c r="C518" s="70"/>
      <c r="D518" s="70"/>
      <c r="E518" s="60"/>
      <c r="F518" s="12"/>
      <c r="G518" s="42" t="s">
        <v>13</v>
      </c>
      <c r="H518" s="13">
        <f>J518+L518+N518+P518</f>
        <v>0</v>
      </c>
      <c r="I518" s="13">
        <f>K518+M518+O518+Q518</f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59"/>
      <c r="S518" s="160"/>
      <c r="T518" s="11"/>
    </row>
    <row r="519" spans="1:20" ht="12.75">
      <c r="A519" s="164"/>
      <c r="B519" s="145"/>
      <c r="C519" s="70"/>
      <c r="D519" s="70"/>
      <c r="E519" s="60"/>
      <c r="F519" s="12"/>
      <c r="G519" s="42" t="s">
        <v>11</v>
      </c>
      <c r="H519" s="13">
        <f aca="true" t="shared" si="141" ref="H519:I524">J519+L519+N519+P519</f>
        <v>0</v>
      </c>
      <c r="I519" s="13">
        <f t="shared" si="141"/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59"/>
      <c r="S519" s="160"/>
      <c r="T519" s="11"/>
    </row>
    <row r="520" spans="1:20" ht="12.75">
      <c r="A520" s="164"/>
      <c r="B520" s="145"/>
      <c r="C520" s="70"/>
      <c r="D520" s="70"/>
      <c r="E520" s="60"/>
      <c r="F520" s="12"/>
      <c r="G520" s="42" t="s">
        <v>12</v>
      </c>
      <c r="H520" s="13">
        <f t="shared" si="141"/>
        <v>0</v>
      </c>
      <c r="I520" s="13">
        <f t="shared" si="141"/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59"/>
      <c r="S520" s="160"/>
      <c r="T520" s="11"/>
    </row>
    <row r="521" spans="1:20" ht="12.75">
      <c r="A521" s="164"/>
      <c r="B521" s="145"/>
      <c r="C521" s="70"/>
      <c r="D521" s="70"/>
      <c r="E521" s="60"/>
      <c r="F521" s="12"/>
      <c r="G521" s="42" t="s">
        <v>14</v>
      </c>
      <c r="H521" s="13">
        <f t="shared" si="141"/>
        <v>0</v>
      </c>
      <c r="I521" s="13">
        <f t="shared" si="141"/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59"/>
      <c r="S521" s="160"/>
      <c r="T521" s="11"/>
    </row>
    <row r="522" spans="1:20" ht="12.75">
      <c r="A522" s="164"/>
      <c r="B522" s="145"/>
      <c r="C522" s="70"/>
      <c r="D522" s="70"/>
      <c r="E522" s="60"/>
      <c r="F522" s="12"/>
      <c r="G522" s="42" t="s">
        <v>15</v>
      </c>
      <c r="H522" s="13">
        <f t="shared" si="141"/>
        <v>0</v>
      </c>
      <c r="I522" s="13">
        <f t="shared" si="141"/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59"/>
      <c r="S522" s="160"/>
      <c r="T522" s="11"/>
    </row>
    <row r="523" spans="1:20" ht="12.75">
      <c r="A523" s="164"/>
      <c r="B523" s="145"/>
      <c r="C523" s="70"/>
      <c r="D523" s="70"/>
      <c r="E523" s="60" t="s">
        <v>51</v>
      </c>
      <c r="F523" s="12"/>
      <c r="G523" s="12" t="s">
        <v>61</v>
      </c>
      <c r="H523" s="13">
        <f t="shared" si="141"/>
        <v>0</v>
      </c>
      <c r="I523" s="13">
        <f t="shared" si="141"/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59"/>
      <c r="S523" s="160"/>
      <c r="T523" s="11"/>
    </row>
    <row r="524" spans="1:20" ht="12.75">
      <c r="A524" s="164"/>
      <c r="B524" s="145"/>
      <c r="C524" s="70"/>
      <c r="D524" s="70"/>
      <c r="E524" s="60"/>
      <c r="F524" s="12"/>
      <c r="G524" s="42" t="s">
        <v>110</v>
      </c>
      <c r="H524" s="13">
        <f t="shared" si="141"/>
        <v>0</v>
      </c>
      <c r="I524" s="13">
        <f t="shared" si="141"/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59"/>
      <c r="S524" s="160"/>
      <c r="T524" s="11"/>
    </row>
    <row r="525" spans="1:20" ht="12.75">
      <c r="A525" s="164"/>
      <c r="B525" s="145"/>
      <c r="C525" s="70"/>
      <c r="D525" s="70"/>
      <c r="E525" s="60"/>
      <c r="F525" s="12"/>
      <c r="G525" s="42" t="s">
        <v>111</v>
      </c>
      <c r="H525" s="13">
        <f aca="true" t="shared" si="142" ref="H525:I528">J525+L525+N525+P525</f>
        <v>0</v>
      </c>
      <c r="I525" s="13">
        <f t="shared" si="142"/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59"/>
      <c r="S525" s="160"/>
      <c r="T525" s="11"/>
    </row>
    <row r="526" spans="1:20" ht="12.75">
      <c r="A526" s="164"/>
      <c r="B526" s="145"/>
      <c r="C526" s="70"/>
      <c r="D526" s="70"/>
      <c r="E526" s="60"/>
      <c r="F526" s="12"/>
      <c r="G526" s="12" t="s">
        <v>112</v>
      </c>
      <c r="H526" s="13">
        <f t="shared" si="142"/>
        <v>0</v>
      </c>
      <c r="I526" s="13">
        <f t="shared" si="142"/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59"/>
      <c r="S526" s="160"/>
      <c r="T526" s="11"/>
    </row>
    <row r="527" spans="1:20" ht="12.75">
      <c r="A527" s="164"/>
      <c r="B527" s="145"/>
      <c r="C527" s="70"/>
      <c r="D527" s="70"/>
      <c r="E527" s="60"/>
      <c r="F527" s="12"/>
      <c r="G527" s="42" t="s">
        <v>113</v>
      </c>
      <c r="H527" s="13">
        <f t="shared" si="142"/>
        <v>0</v>
      </c>
      <c r="I527" s="13">
        <f t="shared" si="142"/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59"/>
      <c r="S527" s="160"/>
      <c r="T527" s="11"/>
    </row>
    <row r="528" spans="1:20" ht="12.75">
      <c r="A528" s="165"/>
      <c r="B528" s="146"/>
      <c r="C528" s="70"/>
      <c r="D528" s="70"/>
      <c r="E528" s="60"/>
      <c r="F528" s="12"/>
      <c r="G528" s="42" t="s">
        <v>72</v>
      </c>
      <c r="H528" s="13">
        <f t="shared" si="142"/>
        <v>0</v>
      </c>
      <c r="I528" s="13">
        <f t="shared" si="142"/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61"/>
      <c r="S528" s="162"/>
      <c r="T528" s="11"/>
    </row>
    <row r="529" spans="1:20" ht="12.75" customHeight="1">
      <c r="A529" s="163">
        <v>41</v>
      </c>
      <c r="B529" s="144" t="s">
        <v>69</v>
      </c>
      <c r="C529" s="69"/>
      <c r="D529" s="69"/>
      <c r="E529" s="59"/>
      <c r="F529" s="12"/>
      <c r="G529" s="41" t="s">
        <v>9</v>
      </c>
      <c r="H529" s="10">
        <f>SUM(H530:H540)</f>
        <v>0</v>
      </c>
      <c r="I529" s="10">
        <f aca="true" t="shared" si="143" ref="I529:Q529">SUM(I530:I540)</f>
        <v>0</v>
      </c>
      <c r="J529" s="10">
        <f t="shared" si="143"/>
        <v>0</v>
      </c>
      <c r="K529" s="10">
        <f t="shared" si="143"/>
        <v>0</v>
      </c>
      <c r="L529" s="10">
        <f t="shared" si="143"/>
        <v>0</v>
      </c>
      <c r="M529" s="10">
        <f t="shared" si="143"/>
        <v>0</v>
      </c>
      <c r="N529" s="10">
        <f t="shared" si="143"/>
        <v>0</v>
      </c>
      <c r="O529" s="10">
        <f t="shared" si="143"/>
        <v>0</v>
      </c>
      <c r="P529" s="10">
        <f t="shared" si="143"/>
        <v>0</v>
      </c>
      <c r="Q529" s="10">
        <f t="shared" si="143"/>
        <v>0</v>
      </c>
      <c r="R529" s="157" t="s">
        <v>36</v>
      </c>
      <c r="S529" s="158"/>
      <c r="T529" s="11"/>
    </row>
    <row r="530" spans="1:20" ht="12.75">
      <c r="A530" s="164"/>
      <c r="B530" s="145"/>
      <c r="C530" s="70"/>
      <c r="D530" s="70"/>
      <c r="E530" s="60"/>
      <c r="F530" s="12"/>
      <c r="G530" s="42" t="s">
        <v>13</v>
      </c>
      <c r="H530" s="13">
        <f>J530+L530+N530+P530</f>
        <v>0</v>
      </c>
      <c r="I530" s="13">
        <f>K530+M530+O530+Q530</f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59"/>
      <c r="S530" s="160"/>
      <c r="T530" s="11"/>
    </row>
    <row r="531" spans="1:20" ht="12.75">
      <c r="A531" s="164"/>
      <c r="B531" s="145"/>
      <c r="C531" s="70"/>
      <c r="D531" s="70"/>
      <c r="E531" s="60"/>
      <c r="F531" s="12"/>
      <c r="G531" s="42" t="s">
        <v>11</v>
      </c>
      <c r="H531" s="13">
        <f aca="true" t="shared" si="144" ref="H531:I536">J531+L531+N531+P531</f>
        <v>0</v>
      </c>
      <c r="I531" s="13">
        <f t="shared" si="144"/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59"/>
      <c r="S531" s="160"/>
      <c r="T531" s="11"/>
    </row>
    <row r="532" spans="1:20" ht="12.75">
      <c r="A532" s="164"/>
      <c r="B532" s="145"/>
      <c r="C532" s="70"/>
      <c r="D532" s="70"/>
      <c r="E532" s="60"/>
      <c r="F532" s="12"/>
      <c r="G532" s="42" t="s">
        <v>12</v>
      </c>
      <c r="H532" s="13">
        <f t="shared" si="144"/>
        <v>0</v>
      </c>
      <c r="I532" s="13">
        <f t="shared" si="144"/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59"/>
      <c r="S532" s="160"/>
      <c r="T532" s="11"/>
    </row>
    <row r="533" spans="1:20" ht="12.75">
      <c r="A533" s="164"/>
      <c r="B533" s="145"/>
      <c r="C533" s="70"/>
      <c r="D533" s="70"/>
      <c r="E533" s="60"/>
      <c r="F533" s="12"/>
      <c r="G533" s="42" t="s">
        <v>14</v>
      </c>
      <c r="H533" s="13">
        <f t="shared" si="144"/>
        <v>0</v>
      </c>
      <c r="I533" s="13">
        <f t="shared" si="144"/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59"/>
      <c r="S533" s="160"/>
      <c r="T533" s="11"/>
    </row>
    <row r="534" spans="1:20" ht="12.75">
      <c r="A534" s="164"/>
      <c r="B534" s="145"/>
      <c r="C534" s="70"/>
      <c r="D534" s="70"/>
      <c r="E534" s="60"/>
      <c r="F534" s="12"/>
      <c r="G534" s="42" t="s">
        <v>15</v>
      </c>
      <c r="H534" s="13">
        <f t="shared" si="144"/>
        <v>0</v>
      </c>
      <c r="I534" s="13">
        <f t="shared" si="144"/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59"/>
      <c r="S534" s="160"/>
      <c r="T534" s="11"/>
    </row>
    <row r="535" spans="1:20" ht="12.75">
      <c r="A535" s="164"/>
      <c r="B535" s="145"/>
      <c r="C535" s="70"/>
      <c r="D535" s="70"/>
      <c r="E535" s="60" t="s">
        <v>51</v>
      </c>
      <c r="F535" s="12"/>
      <c r="G535" s="12" t="s">
        <v>61</v>
      </c>
      <c r="H535" s="13">
        <f t="shared" si="144"/>
        <v>0</v>
      </c>
      <c r="I535" s="13">
        <f t="shared" si="144"/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59"/>
      <c r="S535" s="160"/>
      <c r="T535" s="11"/>
    </row>
    <row r="536" spans="1:20" ht="12.75">
      <c r="A536" s="164"/>
      <c r="B536" s="145"/>
      <c r="C536" s="70"/>
      <c r="D536" s="70"/>
      <c r="E536" s="60"/>
      <c r="F536" s="12"/>
      <c r="G536" s="42" t="s">
        <v>110</v>
      </c>
      <c r="H536" s="13">
        <f t="shared" si="144"/>
        <v>0</v>
      </c>
      <c r="I536" s="13">
        <f t="shared" si="144"/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59"/>
      <c r="S536" s="160"/>
      <c r="T536" s="11"/>
    </row>
    <row r="537" spans="1:20" ht="12.75">
      <c r="A537" s="164"/>
      <c r="B537" s="145"/>
      <c r="C537" s="70"/>
      <c r="D537" s="70"/>
      <c r="E537" s="60"/>
      <c r="F537" s="12"/>
      <c r="G537" s="42" t="s">
        <v>111</v>
      </c>
      <c r="H537" s="13">
        <f aca="true" t="shared" si="145" ref="H537:I540">J537+L537+N537+P537</f>
        <v>0</v>
      </c>
      <c r="I537" s="13">
        <f t="shared" si="145"/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59"/>
      <c r="S537" s="160"/>
      <c r="T537" s="11"/>
    </row>
    <row r="538" spans="1:20" ht="12.75">
      <c r="A538" s="164"/>
      <c r="B538" s="145"/>
      <c r="C538" s="70"/>
      <c r="D538" s="70"/>
      <c r="E538" s="60"/>
      <c r="F538" s="12"/>
      <c r="G538" s="42" t="s">
        <v>112</v>
      </c>
      <c r="H538" s="13">
        <f t="shared" si="145"/>
        <v>0</v>
      </c>
      <c r="I538" s="13">
        <f t="shared" si="145"/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59"/>
      <c r="S538" s="160"/>
      <c r="T538" s="11"/>
    </row>
    <row r="539" spans="1:20" ht="12.75">
      <c r="A539" s="164"/>
      <c r="B539" s="145"/>
      <c r="C539" s="70"/>
      <c r="D539" s="70"/>
      <c r="E539" s="60"/>
      <c r="F539" s="12"/>
      <c r="G539" s="12" t="s">
        <v>113</v>
      </c>
      <c r="H539" s="13">
        <f t="shared" si="145"/>
        <v>0</v>
      </c>
      <c r="I539" s="13">
        <f t="shared" si="145"/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59"/>
      <c r="S539" s="160"/>
      <c r="T539" s="11"/>
    </row>
    <row r="540" spans="1:20" ht="12.75">
      <c r="A540" s="165"/>
      <c r="B540" s="146"/>
      <c r="C540" s="70"/>
      <c r="D540" s="70"/>
      <c r="E540" s="60"/>
      <c r="F540" s="12"/>
      <c r="G540" s="42" t="s">
        <v>72</v>
      </c>
      <c r="H540" s="13">
        <f t="shared" si="145"/>
        <v>0</v>
      </c>
      <c r="I540" s="13">
        <f t="shared" si="145"/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61"/>
      <c r="S540" s="162"/>
      <c r="T540" s="11"/>
    </row>
    <row r="541" spans="1:20" ht="12.75" customHeight="1">
      <c r="A541" s="163">
        <v>42</v>
      </c>
      <c r="B541" s="144" t="s">
        <v>70</v>
      </c>
      <c r="C541" s="69"/>
      <c r="D541" s="69"/>
      <c r="E541" s="59"/>
      <c r="F541" s="12"/>
      <c r="G541" s="41" t="s">
        <v>9</v>
      </c>
      <c r="H541" s="10">
        <f>SUM(H542:H552)</f>
        <v>0</v>
      </c>
      <c r="I541" s="10">
        <f aca="true" t="shared" si="146" ref="I541:Q541">SUM(I542:I552)</f>
        <v>0</v>
      </c>
      <c r="J541" s="10">
        <f t="shared" si="146"/>
        <v>0</v>
      </c>
      <c r="K541" s="10">
        <f t="shared" si="146"/>
        <v>0</v>
      </c>
      <c r="L541" s="10">
        <f t="shared" si="146"/>
        <v>0</v>
      </c>
      <c r="M541" s="10">
        <f t="shared" si="146"/>
        <v>0</v>
      </c>
      <c r="N541" s="10">
        <f t="shared" si="146"/>
        <v>0</v>
      </c>
      <c r="O541" s="10">
        <f t="shared" si="146"/>
        <v>0</v>
      </c>
      <c r="P541" s="10">
        <f t="shared" si="146"/>
        <v>0</v>
      </c>
      <c r="Q541" s="10">
        <f t="shared" si="146"/>
        <v>0</v>
      </c>
      <c r="R541" s="157" t="s">
        <v>36</v>
      </c>
      <c r="S541" s="158"/>
      <c r="T541" s="11"/>
    </row>
    <row r="542" spans="1:20" ht="12.75">
      <c r="A542" s="164"/>
      <c r="B542" s="145"/>
      <c r="C542" s="70"/>
      <c r="D542" s="70"/>
      <c r="E542" s="60"/>
      <c r="F542" s="12"/>
      <c r="G542" s="42" t="s">
        <v>13</v>
      </c>
      <c r="H542" s="13">
        <f>J542+L542+N542+P542</f>
        <v>0</v>
      </c>
      <c r="I542" s="13">
        <f>K542+M542+O542+Q542</f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9"/>
      <c r="S542" s="160"/>
      <c r="T542" s="11"/>
    </row>
    <row r="543" spans="1:20" ht="12.75">
      <c r="A543" s="164"/>
      <c r="B543" s="145"/>
      <c r="C543" s="70"/>
      <c r="D543" s="70"/>
      <c r="E543" s="60"/>
      <c r="F543" s="12"/>
      <c r="G543" s="42" t="s">
        <v>11</v>
      </c>
      <c r="H543" s="13">
        <f aca="true" t="shared" si="147" ref="H543:I548">J543+L543+N543+P543</f>
        <v>0</v>
      </c>
      <c r="I543" s="13">
        <f t="shared" si="147"/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59"/>
      <c r="S543" s="160"/>
      <c r="T543" s="11"/>
    </row>
    <row r="544" spans="1:20" ht="12.75">
      <c r="A544" s="164"/>
      <c r="B544" s="145"/>
      <c r="C544" s="70"/>
      <c r="D544" s="70"/>
      <c r="E544" s="60"/>
      <c r="F544" s="12"/>
      <c r="G544" s="42" t="s">
        <v>12</v>
      </c>
      <c r="H544" s="13">
        <f t="shared" si="147"/>
        <v>0</v>
      </c>
      <c r="I544" s="13">
        <f t="shared" si="147"/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59"/>
      <c r="S544" s="160"/>
      <c r="T544" s="11"/>
    </row>
    <row r="545" spans="1:20" ht="12.75">
      <c r="A545" s="164"/>
      <c r="B545" s="145"/>
      <c r="C545" s="70"/>
      <c r="D545" s="70"/>
      <c r="E545" s="60"/>
      <c r="F545" s="12"/>
      <c r="G545" s="42" t="s">
        <v>14</v>
      </c>
      <c r="H545" s="13">
        <f t="shared" si="147"/>
        <v>0</v>
      </c>
      <c r="I545" s="13">
        <f t="shared" si="147"/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59"/>
      <c r="S545" s="160"/>
      <c r="T545" s="11"/>
    </row>
    <row r="546" spans="1:20" ht="12.75">
      <c r="A546" s="164"/>
      <c r="B546" s="145"/>
      <c r="C546" s="70"/>
      <c r="D546" s="70"/>
      <c r="E546" s="60"/>
      <c r="F546" s="12"/>
      <c r="G546" s="42" t="s">
        <v>15</v>
      </c>
      <c r="H546" s="13">
        <f t="shared" si="147"/>
        <v>0</v>
      </c>
      <c r="I546" s="13">
        <f t="shared" si="147"/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9"/>
      <c r="S546" s="160"/>
      <c r="T546" s="11"/>
    </row>
    <row r="547" spans="1:20" ht="12.75">
      <c r="A547" s="164"/>
      <c r="B547" s="145"/>
      <c r="C547" s="70"/>
      <c r="D547" s="70"/>
      <c r="E547" s="60" t="s">
        <v>51</v>
      </c>
      <c r="F547" s="12"/>
      <c r="G547" s="12" t="s">
        <v>61</v>
      </c>
      <c r="H547" s="13">
        <f t="shared" si="147"/>
        <v>0</v>
      </c>
      <c r="I547" s="13">
        <f t="shared" si="147"/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9"/>
      <c r="S547" s="160"/>
      <c r="T547" s="11"/>
    </row>
    <row r="548" spans="1:20" ht="12.75">
      <c r="A548" s="164"/>
      <c r="B548" s="145"/>
      <c r="C548" s="70"/>
      <c r="D548" s="70"/>
      <c r="E548" s="60"/>
      <c r="F548" s="12"/>
      <c r="G548" s="42" t="s">
        <v>110</v>
      </c>
      <c r="H548" s="13">
        <f t="shared" si="147"/>
        <v>0</v>
      </c>
      <c r="I548" s="13">
        <f t="shared" si="147"/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9"/>
      <c r="S548" s="160"/>
      <c r="T548" s="11"/>
    </row>
    <row r="549" spans="1:20" ht="12.75">
      <c r="A549" s="164"/>
      <c r="B549" s="145"/>
      <c r="C549" s="70"/>
      <c r="D549" s="70"/>
      <c r="E549" s="60"/>
      <c r="F549" s="12"/>
      <c r="G549" s="42" t="s">
        <v>111</v>
      </c>
      <c r="H549" s="13">
        <f aca="true" t="shared" si="148" ref="H549:I552">J549+L549+N549+P549</f>
        <v>0</v>
      </c>
      <c r="I549" s="13">
        <f t="shared" si="148"/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9"/>
      <c r="S549" s="160"/>
      <c r="T549" s="11"/>
    </row>
    <row r="550" spans="1:20" ht="12.75">
      <c r="A550" s="164"/>
      <c r="B550" s="145"/>
      <c r="C550" s="70"/>
      <c r="D550" s="70"/>
      <c r="E550" s="60"/>
      <c r="F550" s="12"/>
      <c r="G550" s="42" t="s">
        <v>112</v>
      </c>
      <c r="H550" s="13">
        <f t="shared" si="148"/>
        <v>0</v>
      </c>
      <c r="I550" s="13">
        <f t="shared" si="148"/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9"/>
      <c r="S550" s="160"/>
      <c r="T550" s="11"/>
    </row>
    <row r="551" spans="1:20" ht="12.75">
      <c r="A551" s="164"/>
      <c r="B551" s="145"/>
      <c r="C551" s="70"/>
      <c r="D551" s="70"/>
      <c r="E551" s="60"/>
      <c r="F551" s="12"/>
      <c r="G551" s="12" t="s">
        <v>113</v>
      </c>
      <c r="H551" s="13">
        <f t="shared" si="148"/>
        <v>0</v>
      </c>
      <c r="I551" s="13">
        <f t="shared" si="148"/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9"/>
      <c r="S551" s="160"/>
      <c r="T551" s="11"/>
    </row>
    <row r="552" spans="1:20" ht="12.75">
      <c r="A552" s="165"/>
      <c r="B552" s="146"/>
      <c r="C552" s="71"/>
      <c r="D552" s="71"/>
      <c r="E552" s="61"/>
      <c r="F552" s="12"/>
      <c r="G552" s="42" t="s">
        <v>72</v>
      </c>
      <c r="H552" s="13">
        <f t="shared" si="148"/>
        <v>0</v>
      </c>
      <c r="I552" s="13">
        <f t="shared" si="148"/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61"/>
      <c r="S552" s="162"/>
      <c r="T552" s="11"/>
    </row>
    <row r="553" spans="1:20" ht="12.75">
      <c r="A553" s="163">
        <v>43</v>
      </c>
      <c r="B553" s="144" t="s">
        <v>137</v>
      </c>
      <c r="C553" s="70"/>
      <c r="D553" s="70"/>
      <c r="E553" s="60"/>
      <c r="F553" s="12"/>
      <c r="G553" s="41" t="s">
        <v>9</v>
      </c>
      <c r="H553" s="10">
        <f>SUM(H554:H564)</f>
        <v>0</v>
      </c>
      <c r="I553" s="10">
        <f aca="true" t="shared" si="149" ref="I553:Q553">SUM(I554:I564)</f>
        <v>0</v>
      </c>
      <c r="J553" s="10">
        <f t="shared" si="149"/>
        <v>0</v>
      </c>
      <c r="K553" s="10">
        <f t="shared" si="149"/>
        <v>0</v>
      </c>
      <c r="L553" s="10">
        <f t="shared" si="149"/>
        <v>0</v>
      </c>
      <c r="M553" s="10">
        <f t="shared" si="149"/>
        <v>0</v>
      </c>
      <c r="N553" s="10">
        <f t="shared" si="149"/>
        <v>0</v>
      </c>
      <c r="O553" s="10">
        <f t="shared" si="149"/>
        <v>0</v>
      </c>
      <c r="P553" s="10">
        <f t="shared" si="149"/>
        <v>0</v>
      </c>
      <c r="Q553" s="10">
        <f t="shared" si="149"/>
        <v>0</v>
      </c>
      <c r="R553" s="157" t="s">
        <v>36</v>
      </c>
      <c r="S553" s="158"/>
      <c r="T553" s="11"/>
    </row>
    <row r="554" spans="1:20" ht="12.75">
      <c r="A554" s="164"/>
      <c r="B554" s="145"/>
      <c r="C554" s="70"/>
      <c r="D554" s="70"/>
      <c r="E554" s="60"/>
      <c r="F554" s="12"/>
      <c r="G554" s="42" t="s">
        <v>13</v>
      </c>
      <c r="H554" s="13">
        <f>J554+L554+N554+P554</f>
        <v>0</v>
      </c>
      <c r="I554" s="13">
        <f>K554+M554+O554+Q554</f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9"/>
      <c r="S554" s="160"/>
      <c r="T554" s="11"/>
    </row>
    <row r="555" spans="1:20" ht="12.75">
      <c r="A555" s="164"/>
      <c r="B555" s="145"/>
      <c r="C555" s="70"/>
      <c r="D555" s="70"/>
      <c r="E555" s="60"/>
      <c r="F555" s="12"/>
      <c r="G555" s="42" t="s">
        <v>11</v>
      </c>
      <c r="H555" s="13">
        <f aca="true" t="shared" si="150" ref="H555:H564">J555+L555+N555+P555</f>
        <v>0</v>
      </c>
      <c r="I555" s="13">
        <f aca="true" t="shared" si="151" ref="I555:I564">K555+M555+O555+Q555</f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9"/>
      <c r="S555" s="160"/>
      <c r="T555" s="11"/>
    </row>
    <row r="556" spans="1:20" ht="12.75">
      <c r="A556" s="164"/>
      <c r="B556" s="145"/>
      <c r="C556" s="70"/>
      <c r="D556" s="70"/>
      <c r="E556" s="60"/>
      <c r="F556" s="12"/>
      <c r="G556" s="42" t="s">
        <v>12</v>
      </c>
      <c r="H556" s="13">
        <f t="shared" si="150"/>
        <v>0</v>
      </c>
      <c r="I556" s="13">
        <f t="shared" si="151"/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9"/>
      <c r="S556" s="160"/>
      <c r="T556" s="11"/>
    </row>
    <row r="557" spans="1:20" ht="12.75">
      <c r="A557" s="164"/>
      <c r="B557" s="145"/>
      <c r="C557" s="70"/>
      <c r="D557" s="70"/>
      <c r="E557" s="60" t="s">
        <v>51</v>
      </c>
      <c r="F557" s="12"/>
      <c r="G557" s="42" t="s">
        <v>14</v>
      </c>
      <c r="H557" s="13">
        <f t="shared" si="150"/>
        <v>0</v>
      </c>
      <c r="I557" s="13">
        <f t="shared" si="151"/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9"/>
      <c r="S557" s="160"/>
      <c r="T557" s="11"/>
    </row>
    <row r="558" spans="1:20" ht="12.75">
      <c r="A558" s="164"/>
      <c r="B558" s="145"/>
      <c r="C558" s="70"/>
      <c r="D558" s="70"/>
      <c r="E558" s="60"/>
      <c r="F558" s="12"/>
      <c r="G558" s="42" t="s">
        <v>15</v>
      </c>
      <c r="H558" s="13">
        <f t="shared" si="150"/>
        <v>0</v>
      </c>
      <c r="I558" s="13">
        <f t="shared" si="151"/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9"/>
      <c r="S558" s="160"/>
      <c r="T558" s="11"/>
    </row>
    <row r="559" spans="1:20" ht="12.75">
      <c r="A559" s="164"/>
      <c r="B559" s="145"/>
      <c r="C559" s="70"/>
      <c r="D559" s="70"/>
      <c r="E559" s="60"/>
      <c r="F559" s="12"/>
      <c r="G559" s="12" t="s">
        <v>61</v>
      </c>
      <c r="H559" s="13">
        <f t="shared" si="150"/>
        <v>0</v>
      </c>
      <c r="I559" s="13">
        <f t="shared" si="151"/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9"/>
      <c r="S559" s="160"/>
      <c r="T559" s="11"/>
    </row>
    <row r="560" spans="1:20" ht="12.75">
      <c r="A560" s="164"/>
      <c r="B560" s="145"/>
      <c r="C560" s="70"/>
      <c r="D560" s="70"/>
      <c r="E560" s="60"/>
      <c r="F560" s="12"/>
      <c r="G560" s="42" t="s">
        <v>110</v>
      </c>
      <c r="H560" s="13">
        <f>I560+J560</f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9"/>
      <c r="S560" s="160"/>
      <c r="T560" s="11"/>
    </row>
    <row r="561" spans="1:20" ht="12.75">
      <c r="A561" s="164"/>
      <c r="B561" s="145"/>
      <c r="C561" s="70"/>
      <c r="D561" s="70"/>
      <c r="E561" s="60"/>
      <c r="F561" s="12"/>
      <c r="G561" s="42" t="s">
        <v>111</v>
      </c>
      <c r="H561" s="13">
        <f t="shared" si="150"/>
        <v>0</v>
      </c>
      <c r="I561" s="13">
        <f t="shared" si="151"/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9"/>
      <c r="S561" s="160"/>
      <c r="T561" s="11"/>
    </row>
    <row r="562" spans="1:20" ht="12.75">
      <c r="A562" s="164"/>
      <c r="B562" s="145"/>
      <c r="C562" s="70"/>
      <c r="D562" s="70"/>
      <c r="E562" s="60"/>
      <c r="F562" s="12"/>
      <c r="G562" s="42" t="s">
        <v>112</v>
      </c>
      <c r="H562" s="13">
        <f t="shared" si="150"/>
        <v>0</v>
      </c>
      <c r="I562" s="13">
        <f t="shared" si="151"/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9"/>
      <c r="S562" s="160"/>
      <c r="T562" s="11"/>
    </row>
    <row r="563" spans="1:20" ht="12.75">
      <c r="A563" s="164"/>
      <c r="B563" s="145"/>
      <c r="C563" s="70"/>
      <c r="D563" s="70"/>
      <c r="E563" s="60"/>
      <c r="F563" s="12"/>
      <c r="G563" s="12" t="s">
        <v>113</v>
      </c>
      <c r="H563" s="13">
        <f t="shared" si="150"/>
        <v>0</v>
      </c>
      <c r="I563" s="13">
        <f t="shared" si="151"/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9"/>
      <c r="S563" s="160"/>
      <c r="T563" s="11"/>
    </row>
    <row r="564" spans="1:20" ht="12.75">
      <c r="A564" s="165"/>
      <c r="B564" s="146"/>
      <c r="C564" s="71"/>
      <c r="D564" s="71"/>
      <c r="E564" s="61"/>
      <c r="F564" s="12"/>
      <c r="G564" s="42" t="s">
        <v>72</v>
      </c>
      <c r="H564" s="13">
        <f t="shared" si="150"/>
        <v>0</v>
      </c>
      <c r="I564" s="13">
        <f t="shared" si="151"/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61"/>
      <c r="S564" s="162"/>
      <c r="T564" s="11"/>
    </row>
    <row r="565" spans="1:20" ht="12.75">
      <c r="A565" s="163">
        <v>44</v>
      </c>
      <c r="B565" s="144" t="s">
        <v>146</v>
      </c>
      <c r="C565" s="70"/>
      <c r="D565" s="70"/>
      <c r="E565" s="60"/>
      <c r="F565" s="12"/>
      <c r="G565" s="41" t="s">
        <v>9</v>
      </c>
      <c r="H565" s="10">
        <f>SUM(H566:H576)</f>
        <v>0</v>
      </c>
      <c r="I565" s="10">
        <f aca="true" t="shared" si="152" ref="I565:Q565">SUM(I566:I576)</f>
        <v>0</v>
      </c>
      <c r="J565" s="10">
        <f t="shared" si="152"/>
        <v>0</v>
      </c>
      <c r="K565" s="10">
        <f t="shared" si="152"/>
        <v>0</v>
      </c>
      <c r="L565" s="10">
        <f t="shared" si="152"/>
        <v>0</v>
      </c>
      <c r="M565" s="10">
        <f t="shared" si="152"/>
        <v>0</v>
      </c>
      <c r="N565" s="10">
        <f t="shared" si="152"/>
        <v>0</v>
      </c>
      <c r="O565" s="10">
        <f t="shared" si="152"/>
        <v>0</v>
      </c>
      <c r="P565" s="10">
        <f t="shared" si="152"/>
        <v>0</v>
      </c>
      <c r="Q565" s="10">
        <f t="shared" si="152"/>
        <v>0</v>
      </c>
      <c r="R565" s="157" t="s">
        <v>36</v>
      </c>
      <c r="S565" s="158"/>
      <c r="T565" s="11"/>
    </row>
    <row r="566" spans="1:20" ht="12.75">
      <c r="A566" s="164"/>
      <c r="B566" s="145"/>
      <c r="C566" s="70"/>
      <c r="D566" s="70"/>
      <c r="E566" s="60"/>
      <c r="F566" s="12"/>
      <c r="G566" s="42" t="s">
        <v>13</v>
      </c>
      <c r="H566" s="13">
        <f aca="true" t="shared" si="153" ref="H566:I571">J566+L566+N566+P566</f>
        <v>0</v>
      </c>
      <c r="I566" s="13">
        <f t="shared" si="153"/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9"/>
      <c r="S566" s="160"/>
      <c r="T566" s="11"/>
    </row>
    <row r="567" spans="1:20" ht="12.75">
      <c r="A567" s="164"/>
      <c r="B567" s="145"/>
      <c r="C567" s="70"/>
      <c r="D567" s="70"/>
      <c r="E567" s="60"/>
      <c r="F567" s="12"/>
      <c r="G567" s="42" t="s">
        <v>11</v>
      </c>
      <c r="H567" s="13">
        <f t="shared" si="153"/>
        <v>0</v>
      </c>
      <c r="I567" s="13">
        <f t="shared" si="153"/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9"/>
      <c r="S567" s="160"/>
      <c r="T567" s="11"/>
    </row>
    <row r="568" spans="1:20" ht="12.75">
      <c r="A568" s="164"/>
      <c r="B568" s="145"/>
      <c r="C568" s="70"/>
      <c r="D568" s="70"/>
      <c r="E568" s="60" t="s">
        <v>51</v>
      </c>
      <c r="F568" s="12"/>
      <c r="G568" s="42" t="s">
        <v>12</v>
      </c>
      <c r="H568" s="13">
        <f t="shared" si="153"/>
        <v>0</v>
      </c>
      <c r="I568" s="13">
        <f t="shared" si="153"/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9"/>
      <c r="S568" s="160"/>
      <c r="T568" s="11"/>
    </row>
    <row r="569" spans="1:20" ht="12.75">
      <c r="A569" s="164"/>
      <c r="B569" s="145"/>
      <c r="C569" s="70"/>
      <c r="D569" s="70"/>
      <c r="E569" s="60"/>
      <c r="F569" s="12"/>
      <c r="G569" s="42" t="s">
        <v>14</v>
      </c>
      <c r="H569" s="13">
        <f t="shared" si="153"/>
        <v>0</v>
      </c>
      <c r="I569" s="13">
        <f t="shared" si="153"/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9"/>
      <c r="S569" s="160"/>
      <c r="T569" s="11"/>
    </row>
    <row r="570" spans="1:20" ht="12.75">
      <c r="A570" s="164"/>
      <c r="B570" s="145"/>
      <c r="C570" s="70"/>
      <c r="D570" s="70"/>
      <c r="E570" s="60"/>
      <c r="F570" s="12"/>
      <c r="G570" s="42" t="s">
        <v>15</v>
      </c>
      <c r="H570" s="13">
        <f t="shared" si="153"/>
        <v>0</v>
      </c>
      <c r="I570" s="13">
        <f t="shared" si="153"/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9"/>
      <c r="S570" s="160"/>
      <c r="T570" s="11"/>
    </row>
    <row r="571" spans="1:20" ht="12.75">
      <c r="A571" s="164"/>
      <c r="B571" s="145"/>
      <c r="C571" s="70"/>
      <c r="D571" s="70"/>
      <c r="E571" s="60"/>
      <c r="F571" s="12"/>
      <c r="G571" s="12" t="s">
        <v>61</v>
      </c>
      <c r="H571" s="13">
        <f t="shared" si="153"/>
        <v>0</v>
      </c>
      <c r="I571" s="13">
        <f t="shared" si="153"/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9"/>
      <c r="S571" s="160"/>
      <c r="T571" s="11"/>
    </row>
    <row r="572" spans="1:20" ht="12.75">
      <c r="A572" s="164"/>
      <c r="B572" s="145"/>
      <c r="C572" s="70"/>
      <c r="D572" s="70"/>
      <c r="E572" s="60"/>
      <c r="F572" s="12"/>
      <c r="G572" s="42" t="s">
        <v>110</v>
      </c>
      <c r="H572" s="13">
        <f>I572+J572</f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9"/>
      <c r="S572" s="160"/>
      <c r="T572" s="11"/>
    </row>
    <row r="573" spans="1:20" ht="12.75">
      <c r="A573" s="164"/>
      <c r="B573" s="145"/>
      <c r="C573" s="70"/>
      <c r="D573" s="70"/>
      <c r="E573" s="60"/>
      <c r="F573" s="12"/>
      <c r="G573" s="42" t="s">
        <v>111</v>
      </c>
      <c r="H573" s="13">
        <f aca="true" t="shared" si="154" ref="H573:I576">J573+L573+N573+P573</f>
        <v>0</v>
      </c>
      <c r="I573" s="13">
        <f t="shared" si="154"/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9"/>
      <c r="S573" s="160"/>
      <c r="T573" s="11"/>
    </row>
    <row r="574" spans="1:20" ht="12.75">
      <c r="A574" s="164"/>
      <c r="B574" s="145"/>
      <c r="C574" s="70"/>
      <c r="D574" s="70"/>
      <c r="E574" s="60"/>
      <c r="F574" s="12"/>
      <c r="G574" s="42" t="s">
        <v>112</v>
      </c>
      <c r="H574" s="13">
        <f t="shared" si="154"/>
        <v>0</v>
      </c>
      <c r="I574" s="13">
        <f t="shared" si="154"/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9"/>
      <c r="S574" s="160"/>
      <c r="T574" s="11"/>
    </row>
    <row r="575" spans="1:20" ht="12.75">
      <c r="A575" s="164"/>
      <c r="B575" s="145"/>
      <c r="C575" s="70"/>
      <c r="D575" s="70"/>
      <c r="E575" s="60"/>
      <c r="F575" s="12"/>
      <c r="G575" s="12" t="s">
        <v>113</v>
      </c>
      <c r="H575" s="13">
        <f t="shared" si="154"/>
        <v>0</v>
      </c>
      <c r="I575" s="13">
        <f t="shared" si="154"/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9"/>
      <c r="S575" s="160"/>
      <c r="T575" s="11"/>
    </row>
    <row r="576" spans="1:20" ht="12.75">
      <c r="A576" s="165"/>
      <c r="B576" s="146"/>
      <c r="C576" s="71"/>
      <c r="D576" s="71"/>
      <c r="E576" s="61"/>
      <c r="F576" s="12"/>
      <c r="G576" s="42" t="s">
        <v>72</v>
      </c>
      <c r="H576" s="13">
        <f t="shared" si="154"/>
        <v>0</v>
      </c>
      <c r="I576" s="13">
        <f t="shared" si="154"/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61"/>
      <c r="S576" s="162"/>
      <c r="T576" s="11"/>
    </row>
    <row r="577" spans="1:20" ht="12.75">
      <c r="A577" s="163">
        <v>45</v>
      </c>
      <c r="B577" s="144" t="s">
        <v>145</v>
      </c>
      <c r="C577" s="70"/>
      <c r="D577" s="70"/>
      <c r="E577" s="60"/>
      <c r="F577" s="12"/>
      <c r="G577" s="41" t="s">
        <v>9</v>
      </c>
      <c r="H577" s="10">
        <f>SUM(H578:H588)</f>
        <v>0</v>
      </c>
      <c r="I577" s="10">
        <f aca="true" t="shared" si="155" ref="I577:Q577">SUM(I578:I588)</f>
        <v>0</v>
      </c>
      <c r="J577" s="10">
        <f t="shared" si="155"/>
        <v>0</v>
      </c>
      <c r="K577" s="10">
        <f t="shared" si="155"/>
        <v>0</v>
      </c>
      <c r="L577" s="10">
        <f t="shared" si="155"/>
        <v>0</v>
      </c>
      <c r="M577" s="10">
        <f t="shared" si="155"/>
        <v>0</v>
      </c>
      <c r="N577" s="10">
        <f t="shared" si="155"/>
        <v>0</v>
      </c>
      <c r="O577" s="10">
        <f t="shared" si="155"/>
        <v>0</v>
      </c>
      <c r="P577" s="10">
        <f t="shared" si="155"/>
        <v>0</v>
      </c>
      <c r="Q577" s="10">
        <f t="shared" si="155"/>
        <v>0</v>
      </c>
      <c r="R577" s="157" t="s">
        <v>36</v>
      </c>
      <c r="S577" s="158"/>
      <c r="T577" s="11"/>
    </row>
    <row r="578" spans="1:20" ht="12.75">
      <c r="A578" s="164"/>
      <c r="B578" s="145"/>
      <c r="C578" s="70"/>
      <c r="D578" s="70"/>
      <c r="E578" s="60"/>
      <c r="F578" s="12"/>
      <c r="G578" s="42" t="s">
        <v>13</v>
      </c>
      <c r="H578" s="13">
        <f aca="true" t="shared" si="156" ref="H578:I583">J578+L578+N578+P578</f>
        <v>0</v>
      </c>
      <c r="I578" s="13">
        <f t="shared" si="156"/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9"/>
      <c r="S578" s="160"/>
      <c r="T578" s="11"/>
    </row>
    <row r="579" spans="1:20" ht="12.75">
      <c r="A579" s="164"/>
      <c r="B579" s="145"/>
      <c r="C579" s="70"/>
      <c r="D579" s="70"/>
      <c r="E579" s="60"/>
      <c r="F579" s="12"/>
      <c r="G579" s="42" t="s">
        <v>11</v>
      </c>
      <c r="H579" s="13">
        <f t="shared" si="156"/>
        <v>0</v>
      </c>
      <c r="I579" s="13">
        <f t="shared" si="156"/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9"/>
      <c r="S579" s="160"/>
      <c r="T579" s="11"/>
    </row>
    <row r="580" spans="1:20" ht="12.75">
      <c r="A580" s="164"/>
      <c r="B580" s="145"/>
      <c r="C580" s="70"/>
      <c r="D580" s="70"/>
      <c r="E580" s="60"/>
      <c r="F580" s="12"/>
      <c r="G580" s="42" t="s">
        <v>12</v>
      </c>
      <c r="H580" s="13">
        <f t="shared" si="156"/>
        <v>0</v>
      </c>
      <c r="I580" s="13">
        <f t="shared" si="156"/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9"/>
      <c r="S580" s="160"/>
      <c r="T580" s="11"/>
    </row>
    <row r="581" spans="1:20" ht="12.75">
      <c r="A581" s="164"/>
      <c r="B581" s="145"/>
      <c r="C581" s="70"/>
      <c r="D581" s="70"/>
      <c r="E581" s="60" t="s">
        <v>51</v>
      </c>
      <c r="F581" s="12"/>
      <c r="G581" s="42" t="s">
        <v>14</v>
      </c>
      <c r="H581" s="13">
        <f t="shared" si="156"/>
        <v>0</v>
      </c>
      <c r="I581" s="13">
        <f t="shared" si="156"/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9"/>
      <c r="S581" s="160"/>
      <c r="T581" s="11"/>
    </row>
    <row r="582" spans="1:20" ht="12.75">
      <c r="A582" s="164"/>
      <c r="B582" s="145"/>
      <c r="C582" s="70"/>
      <c r="D582" s="70"/>
      <c r="E582" s="60"/>
      <c r="F582" s="12"/>
      <c r="G582" s="42" t="s">
        <v>15</v>
      </c>
      <c r="H582" s="13">
        <f t="shared" si="156"/>
        <v>0</v>
      </c>
      <c r="I582" s="13">
        <f t="shared" si="156"/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9"/>
      <c r="S582" s="160"/>
      <c r="T582" s="11"/>
    </row>
    <row r="583" spans="1:20" ht="12.75">
      <c r="A583" s="164"/>
      <c r="B583" s="145"/>
      <c r="C583" s="70"/>
      <c r="D583" s="70"/>
      <c r="E583" s="60"/>
      <c r="F583" s="12"/>
      <c r="G583" s="12" t="s">
        <v>61</v>
      </c>
      <c r="H583" s="13">
        <f t="shared" si="156"/>
        <v>0</v>
      </c>
      <c r="I583" s="13">
        <f t="shared" si="156"/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9"/>
      <c r="S583" s="160"/>
      <c r="T583" s="11"/>
    </row>
    <row r="584" spans="1:20" ht="12.75">
      <c r="A584" s="164"/>
      <c r="B584" s="145"/>
      <c r="C584" s="70"/>
      <c r="D584" s="70"/>
      <c r="E584" s="60"/>
      <c r="F584" s="12"/>
      <c r="G584" s="42" t="s">
        <v>110</v>
      </c>
      <c r="H584" s="13">
        <f>I584+J584</f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9"/>
      <c r="S584" s="160"/>
      <c r="T584" s="11"/>
    </row>
    <row r="585" spans="1:20" ht="12.75">
      <c r="A585" s="164"/>
      <c r="B585" s="145"/>
      <c r="C585" s="70"/>
      <c r="D585" s="70"/>
      <c r="E585" s="60"/>
      <c r="F585" s="12"/>
      <c r="G585" s="42" t="s">
        <v>111</v>
      </c>
      <c r="H585" s="13">
        <f aca="true" t="shared" si="157" ref="H585:I588">J585+L585+N585+P585</f>
        <v>0</v>
      </c>
      <c r="I585" s="13">
        <f t="shared" si="157"/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9"/>
      <c r="S585" s="160"/>
      <c r="T585" s="11"/>
    </row>
    <row r="586" spans="1:20" ht="12.75">
      <c r="A586" s="164"/>
      <c r="B586" s="145"/>
      <c r="C586" s="70"/>
      <c r="D586" s="70"/>
      <c r="E586" s="60"/>
      <c r="F586" s="12"/>
      <c r="G586" s="42" t="s">
        <v>112</v>
      </c>
      <c r="H586" s="13">
        <f t="shared" si="157"/>
        <v>0</v>
      </c>
      <c r="I586" s="13">
        <f t="shared" si="157"/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9"/>
      <c r="S586" s="160"/>
      <c r="T586" s="11"/>
    </row>
    <row r="587" spans="1:20" ht="12.75">
      <c r="A587" s="164"/>
      <c r="B587" s="145"/>
      <c r="C587" s="70"/>
      <c r="D587" s="70"/>
      <c r="E587" s="60"/>
      <c r="F587" s="12"/>
      <c r="G587" s="12" t="s">
        <v>113</v>
      </c>
      <c r="H587" s="13">
        <f t="shared" si="157"/>
        <v>0</v>
      </c>
      <c r="I587" s="13">
        <f t="shared" si="157"/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9"/>
      <c r="S587" s="160"/>
      <c r="T587" s="11"/>
    </row>
    <row r="588" spans="1:20" ht="12.75">
      <c r="A588" s="165"/>
      <c r="B588" s="146"/>
      <c r="C588" s="70"/>
      <c r="D588" s="70"/>
      <c r="E588" s="60"/>
      <c r="F588" s="12"/>
      <c r="G588" s="42" t="s">
        <v>72</v>
      </c>
      <c r="H588" s="13">
        <f t="shared" si="157"/>
        <v>0</v>
      </c>
      <c r="I588" s="13">
        <f t="shared" si="157"/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61"/>
      <c r="S588" s="162"/>
      <c r="T588" s="11"/>
    </row>
    <row r="589" spans="1:20" ht="12.75">
      <c r="A589" s="163">
        <v>46</v>
      </c>
      <c r="B589" s="219" t="s">
        <v>65</v>
      </c>
      <c r="C589" s="114"/>
      <c r="D589" s="114"/>
      <c r="E589" s="59"/>
      <c r="F589" s="8"/>
      <c r="G589" s="41" t="s">
        <v>9</v>
      </c>
      <c r="H589" s="10">
        <f>SUM(H590:H600)</f>
        <v>21305.899999999998</v>
      </c>
      <c r="I589" s="10">
        <f aca="true" t="shared" si="158" ref="I589:Q589">SUM(I590:I600)</f>
        <v>17063.4</v>
      </c>
      <c r="J589" s="10">
        <f t="shared" si="158"/>
        <v>21305.899999999998</v>
      </c>
      <c r="K589" s="10">
        <f t="shared" si="158"/>
        <v>17063.4</v>
      </c>
      <c r="L589" s="10">
        <f t="shared" si="158"/>
        <v>0</v>
      </c>
      <c r="M589" s="10">
        <f t="shared" si="158"/>
        <v>0</v>
      </c>
      <c r="N589" s="10">
        <f t="shared" si="158"/>
        <v>0</v>
      </c>
      <c r="O589" s="10">
        <f t="shared" si="158"/>
        <v>0</v>
      </c>
      <c r="P589" s="10">
        <f t="shared" si="158"/>
        <v>0</v>
      </c>
      <c r="Q589" s="10">
        <f t="shared" si="158"/>
        <v>0</v>
      </c>
      <c r="R589" s="222" t="s">
        <v>36</v>
      </c>
      <c r="S589" s="223"/>
      <c r="T589" s="11"/>
    </row>
    <row r="590" spans="1:20" ht="12.75">
      <c r="A590" s="164"/>
      <c r="B590" s="220"/>
      <c r="C590" s="113"/>
      <c r="D590" s="113"/>
      <c r="E590" s="60"/>
      <c r="F590" s="8"/>
      <c r="G590" s="42" t="s">
        <v>13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224"/>
      <c r="S590" s="225"/>
      <c r="T590" s="11"/>
    </row>
    <row r="591" spans="1:20" ht="12.75">
      <c r="A591" s="164"/>
      <c r="B591" s="220"/>
      <c r="C591" s="113"/>
      <c r="D591" s="113"/>
      <c r="E591" s="60"/>
      <c r="F591" s="8"/>
      <c r="G591" s="42" t="s">
        <v>11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224"/>
      <c r="S591" s="225"/>
      <c r="T591" s="11"/>
    </row>
    <row r="592" spans="1:20" ht="12.75">
      <c r="A592" s="164"/>
      <c r="B592" s="220"/>
      <c r="C592" s="113"/>
      <c r="D592" s="113"/>
      <c r="E592" s="60"/>
      <c r="F592" s="8"/>
      <c r="G592" s="42" t="s">
        <v>12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224"/>
      <c r="S592" s="225"/>
      <c r="T592" s="11"/>
    </row>
    <row r="593" spans="1:20" ht="12.75">
      <c r="A593" s="164"/>
      <c r="B593" s="220"/>
      <c r="C593" s="113"/>
      <c r="D593" s="113"/>
      <c r="E593" s="60" t="s">
        <v>50</v>
      </c>
      <c r="F593" s="8"/>
      <c r="G593" s="42" t="s">
        <v>14</v>
      </c>
      <c r="H593" s="13">
        <f>J593</f>
        <v>795.8</v>
      </c>
      <c r="I593" s="13">
        <f>K593</f>
        <v>795.8</v>
      </c>
      <c r="J593" s="13">
        <f>K593</f>
        <v>795.8</v>
      </c>
      <c r="K593" s="13">
        <f>569.4+226.4</f>
        <v>795.8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224"/>
      <c r="S593" s="225"/>
      <c r="T593" s="11"/>
    </row>
    <row r="594" spans="1:20" ht="12.75">
      <c r="A594" s="164"/>
      <c r="B594" s="220"/>
      <c r="C594" s="113"/>
      <c r="D594" s="113"/>
      <c r="E594" s="140" t="s">
        <v>176</v>
      </c>
      <c r="F594" s="8"/>
      <c r="G594" s="42" t="s">
        <v>15</v>
      </c>
      <c r="H594" s="13">
        <f aca="true" t="shared" si="159" ref="H594:H600">J594</f>
        <v>2492</v>
      </c>
      <c r="I594" s="13">
        <f aca="true" t="shared" si="160" ref="I594:I600">K594</f>
        <v>2492</v>
      </c>
      <c r="J594" s="13">
        <v>2492</v>
      </c>
      <c r="K594" s="13">
        <v>2492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224"/>
      <c r="S594" s="225"/>
      <c r="T594" s="11"/>
    </row>
    <row r="595" spans="1:20" ht="12.75">
      <c r="A595" s="164"/>
      <c r="B595" s="220"/>
      <c r="C595" s="113"/>
      <c r="D595" s="113"/>
      <c r="E595" s="60"/>
      <c r="F595" s="8"/>
      <c r="G595" s="12" t="s">
        <v>61</v>
      </c>
      <c r="H595" s="13">
        <f t="shared" si="159"/>
        <v>3443.9</v>
      </c>
      <c r="I595" s="13">
        <f t="shared" si="160"/>
        <v>3443.9</v>
      </c>
      <c r="J595" s="13">
        <v>3443.9</v>
      </c>
      <c r="K595" s="13">
        <v>3443.9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224"/>
      <c r="S595" s="225"/>
      <c r="T595" s="11"/>
    </row>
    <row r="596" spans="1:20" ht="12.75">
      <c r="A596" s="164"/>
      <c r="B596" s="220"/>
      <c r="C596" s="113"/>
      <c r="D596" s="113"/>
      <c r="E596" s="60"/>
      <c r="F596" s="8"/>
      <c r="G596" s="118" t="s">
        <v>110</v>
      </c>
      <c r="H596" s="119">
        <v>3443.9</v>
      </c>
      <c r="I596" s="119">
        <v>3443.9</v>
      </c>
      <c r="J596" s="119">
        <v>3443.9</v>
      </c>
      <c r="K596" s="119">
        <v>3443.9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224"/>
      <c r="S596" s="225"/>
      <c r="T596" s="11"/>
    </row>
    <row r="597" spans="1:20" ht="12.75">
      <c r="A597" s="164"/>
      <c r="B597" s="220"/>
      <c r="C597" s="113" t="s">
        <v>163</v>
      </c>
      <c r="D597" s="113" t="s">
        <v>164</v>
      </c>
      <c r="E597" s="60"/>
      <c r="F597" s="8"/>
      <c r="G597" s="118" t="s">
        <v>111</v>
      </c>
      <c r="H597" s="119">
        <f t="shared" si="159"/>
        <v>3710.1</v>
      </c>
      <c r="I597" s="119">
        <f t="shared" si="160"/>
        <v>3443.9</v>
      </c>
      <c r="J597" s="119">
        <v>3710.1</v>
      </c>
      <c r="K597" s="119">
        <v>3443.9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224"/>
      <c r="S597" s="225"/>
      <c r="T597" s="11"/>
    </row>
    <row r="598" spans="1:20" ht="12.75">
      <c r="A598" s="164"/>
      <c r="B598" s="220"/>
      <c r="C598" s="113"/>
      <c r="D598" s="113"/>
      <c r="E598" s="60"/>
      <c r="F598" s="8"/>
      <c r="G598" s="118" t="s">
        <v>112</v>
      </c>
      <c r="H598" s="119">
        <f>J598</f>
        <v>3710.1</v>
      </c>
      <c r="I598" s="119">
        <f>K598</f>
        <v>3443.9</v>
      </c>
      <c r="J598" s="119">
        <v>3710.1</v>
      </c>
      <c r="K598" s="119">
        <v>3443.9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224"/>
      <c r="S598" s="225"/>
      <c r="T598" s="11"/>
    </row>
    <row r="599" spans="1:20" ht="12.75">
      <c r="A599" s="164"/>
      <c r="B599" s="220"/>
      <c r="C599" s="113"/>
      <c r="D599" s="113"/>
      <c r="E599" s="60"/>
      <c r="F599" s="8"/>
      <c r="G599" s="125" t="s">
        <v>113</v>
      </c>
      <c r="H599" s="119">
        <f t="shared" si="159"/>
        <v>3710.1</v>
      </c>
      <c r="I599" s="119">
        <f t="shared" si="160"/>
        <v>0</v>
      </c>
      <c r="J599" s="119">
        <v>3710.1</v>
      </c>
      <c r="K599" s="119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224"/>
      <c r="S599" s="225"/>
      <c r="T599" s="11"/>
    </row>
    <row r="600" spans="1:20" ht="125.25" customHeight="1">
      <c r="A600" s="165"/>
      <c r="B600" s="221"/>
      <c r="C600" s="115"/>
      <c r="D600" s="115"/>
      <c r="E600" s="61"/>
      <c r="F600" s="8"/>
      <c r="G600" s="42" t="s">
        <v>72</v>
      </c>
      <c r="H600" s="13">
        <f t="shared" si="159"/>
        <v>0</v>
      </c>
      <c r="I600" s="13">
        <f t="shared" si="160"/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226"/>
      <c r="S600" s="227"/>
      <c r="T600" s="11"/>
    </row>
    <row r="601" spans="1:20" ht="12.75">
      <c r="A601" s="163">
        <v>47</v>
      </c>
      <c r="B601" s="144" t="s">
        <v>121</v>
      </c>
      <c r="C601" s="69"/>
      <c r="D601" s="69"/>
      <c r="E601" s="59"/>
      <c r="F601" s="8"/>
      <c r="G601" s="41" t="s">
        <v>9</v>
      </c>
      <c r="H601" s="10">
        <f>SUM(H602:H612)</f>
        <v>373.7</v>
      </c>
      <c r="I601" s="10">
        <f>SUM(I602:I612)</f>
        <v>373.7</v>
      </c>
      <c r="J601" s="10">
        <f>SUM(J602:J612)</f>
        <v>373.7</v>
      </c>
      <c r="K601" s="10">
        <f aca="true" t="shared" si="161" ref="K601:Q601">SUM(K602:K612)</f>
        <v>373.7</v>
      </c>
      <c r="L601" s="10">
        <f t="shared" si="161"/>
        <v>0</v>
      </c>
      <c r="M601" s="10">
        <f t="shared" si="161"/>
        <v>0</v>
      </c>
      <c r="N601" s="10">
        <f t="shared" si="161"/>
        <v>0</v>
      </c>
      <c r="O601" s="10">
        <f t="shared" si="161"/>
        <v>0</v>
      </c>
      <c r="P601" s="10">
        <f t="shared" si="161"/>
        <v>0</v>
      </c>
      <c r="Q601" s="10">
        <f t="shared" si="161"/>
        <v>0</v>
      </c>
      <c r="R601" s="157" t="s">
        <v>36</v>
      </c>
      <c r="S601" s="158"/>
      <c r="T601" s="11"/>
    </row>
    <row r="602" spans="1:20" ht="12.75">
      <c r="A602" s="164"/>
      <c r="B602" s="145"/>
      <c r="C602" s="70"/>
      <c r="D602" s="70"/>
      <c r="E602" s="60"/>
      <c r="F602" s="8"/>
      <c r="G602" s="42" t="s">
        <v>13</v>
      </c>
      <c r="H602" s="13">
        <f>SUM(J602+L602+N602+P602)</f>
        <v>0</v>
      </c>
      <c r="I602" s="13">
        <f>SUM(K602+M602+O602+Q602)</f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9"/>
      <c r="S602" s="160"/>
      <c r="T602" s="11"/>
    </row>
    <row r="603" spans="1:20" ht="12.75">
      <c r="A603" s="164"/>
      <c r="B603" s="145"/>
      <c r="C603" s="70"/>
      <c r="D603" s="70"/>
      <c r="E603" s="60"/>
      <c r="F603" s="8"/>
      <c r="G603" s="42" t="s">
        <v>11</v>
      </c>
      <c r="H603" s="13">
        <f aca="true" t="shared" si="162" ref="H603:H612">SUM(J603+L603+N603+P603)</f>
        <v>0</v>
      </c>
      <c r="I603" s="13">
        <f aca="true" t="shared" si="163" ref="I603:I612">SUM(K603+M603+O603+Q603)</f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9"/>
      <c r="S603" s="160"/>
      <c r="T603" s="11"/>
    </row>
    <row r="604" spans="1:20" ht="12.75">
      <c r="A604" s="164"/>
      <c r="B604" s="145"/>
      <c r="C604" s="70"/>
      <c r="D604" s="70"/>
      <c r="E604" s="60"/>
      <c r="F604" s="8"/>
      <c r="G604" s="42" t="s">
        <v>12</v>
      </c>
      <c r="H604" s="13">
        <f t="shared" si="162"/>
        <v>0</v>
      </c>
      <c r="I604" s="13">
        <f t="shared" si="163"/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9"/>
      <c r="S604" s="160"/>
      <c r="T604" s="11"/>
    </row>
    <row r="605" spans="1:20" ht="12.75">
      <c r="A605" s="164"/>
      <c r="B605" s="145"/>
      <c r="C605" s="70"/>
      <c r="D605" s="70"/>
      <c r="E605" s="60"/>
      <c r="F605" s="8"/>
      <c r="G605" s="42" t="s">
        <v>14</v>
      </c>
      <c r="H605" s="13">
        <f t="shared" si="162"/>
        <v>0</v>
      </c>
      <c r="I605" s="13">
        <f t="shared" si="163"/>
        <v>0</v>
      </c>
      <c r="J605" s="13">
        <f aca="true" t="shared" si="164" ref="J605:Q605">L605</f>
        <v>0</v>
      </c>
      <c r="K605" s="13">
        <f t="shared" si="164"/>
        <v>0</v>
      </c>
      <c r="L605" s="13">
        <f t="shared" si="164"/>
        <v>0</v>
      </c>
      <c r="M605" s="13">
        <f t="shared" si="164"/>
        <v>0</v>
      </c>
      <c r="N605" s="13">
        <f t="shared" si="164"/>
        <v>0</v>
      </c>
      <c r="O605" s="13">
        <f t="shared" si="164"/>
        <v>0</v>
      </c>
      <c r="P605" s="13">
        <f t="shared" si="164"/>
        <v>0</v>
      </c>
      <c r="Q605" s="13">
        <f t="shared" si="164"/>
        <v>0</v>
      </c>
      <c r="R605" s="159"/>
      <c r="S605" s="160"/>
      <c r="T605" s="11"/>
    </row>
    <row r="606" spans="1:20" ht="12.75">
      <c r="A606" s="164"/>
      <c r="B606" s="145"/>
      <c r="C606" s="88"/>
      <c r="D606" s="88"/>
      <c r="E606" s="60"/>
      <c r="F606" s="8"/>
      <c r="G606" s="42" t="s">
        <v>15</v>
      </c>
      <c r="H606" s="13">
        <f t="shared" si="162"/>
        <v>373.7</v>
      </c>
      <c r="I606" s="13">
        <f t="shared" si="163"/>
        <v>373.7</v>
      </c>
      <c r="J606" s="13">
        <v>373.7</v>
      </c>
      <c r="K606" s="13">
        <v>373.7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9"/>
      <c r="S606" s="160"/>
      <c r="T606" s="11"/>
    </row>
    <row r="607" spans="1:20" ht="12.75">
      <c r="A607" s="164"/>
      <c r="B607" s="145"/>
      <c r="C607" s="70"/>
      <c r="D607" s="70"/>
      <c r="E607" s="60" t="s">
        <v>50</v>
      </c>
      <c r="F607" s="8"/>
      <c r="G607" s="12" t="s">
        <v>61</v>
      </c>
      <c r="H607" s="13">
        <f t="shared" si="162"/>
        <v>0</v>
      </c>
      <c r="I607" s="13">
        <f t="shared" si="163"/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9"/>
      <c r="S607" s="160"/>
      <c r="T607" s="11"/>
    </row>
    <row r="608" spans="1:20" ht="12.75">
      <c r="A608" s="164"/>
      <c r="B608" s="145"/>
      <c r="C608" s="70"/>
      <c r="D608" s="70"/>
      <c r="E608" s="60"/>
      <c r="F608" s="8"/>
      <c r="G608" s="42" t="s">
        <v>110</v>
      </c>
      <c r="H608" s="13">
        <f t="shared" si="162"/>
        <v>0</v>
      </c>
      <c r="I608" s="13">
        <f t="shared" si="163"/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9"/>
      <c r="S608" s="160"/>
      <c r="T608" s="11"/>
    </row>
    <row r="609" spans="1:20" ht="12.75">
      <c r="A609" s="164"/>
      <c r="B609" s="145"/>
      <c r="C609" s="70"/>
      <c r="D609" s="70"/>
      <c r="E609" s="60"/>
      <c r="F609" s="8"/>
      <c r="G609" s="42" t="s">
        <v>111</v>
      </c>
      <c r="H609" s="13">
        <f t="shared" si="162"/>
        <v>0</v>
      </c>
      <c r="I609" s="13">
        <f t="shared" si="163"/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9"/>
      <c r="S609" s="160"/>
      <c r="T609" s="11"/>
    </row>
    <row r="610" spans="1:20" ht="12.75">
      <c r="A610" s="164"/>
      <c r="B610" s="145"/>
      <c r="C610" s="70"/>
      <c r="D610" s="70"/>
      <c r="E610" s="60"/>
      <c r="F610" s="8"/>
      <c r="G610" s="42" t="s">
        <v>112</v>
      </c>
      <c r="H610" s="13">
        <f t="shared" si="162"/>
        <v>0</v>
      </c>
      <c r="I610" s="13">
        <f t="shared" si="163"/>
        <v>0</v>
      </c>
      <c r="J610" s="13">
        <f aca="true" t="shared" si="165" ref="J610:Q610">L610</f>
        <v>0</v>
      </c>
      <c r="K610" s="13">
        <f t="shared" si="165"/>
        <v>0</v>
      </c>
      <c r="L610" s="13">
        <f t="shared" si="165"/>
        <v>0</v>
      </c>
      <c r="M610" s="13">
        <f t="shared" si="165"/>
        <v>0</v>
      </c>
      <c r="N610" s="13">
        <f t="shared" si="165"/>
        <v>0</v>
      </c>
      <c r="O610" s="13">
        <f t="shared" si="165"/>
        <v>0</v>
      </c>
      <c r="P610" s="13">
        <f t="shared" si="165"/>
        <v>0</v>
      </c>
      <c r="Q610" s="13">
        <f t="shared" si="165"/>
        <v>0</v>
      </c>
      <c r="R610" s="159"/>
      <c r="S610" s="160"/>
      <c r="T610" s="11"/>
    </row>
    <row r="611" spans="1:20" ht="12.75">
      <c r="A611" s="164"/>
      <c r="B611" s="145"/>
      <c r="C611" s="70"/>
      <c r="D611" s="70"/>
      <c r="E611" s="60"/>
      <c r="F611" s="8"/>
      <c r="G611" s="12" t="s">
        <v>113</v>
      </c>
      <c r="H611" s="13">
        <f t="shared" si="162"/>
        <v>0</v>
      </c>
      <c r="I611" s="13">
        <f t="shared" si="163"/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9"/>
      <c r="S611" s="160"/>
      <c r="T611" s="11"/>
    </row>
    <row r="612" spans="1:20" ht="12.75">
      <c r="A612" s="165"/>
      <c r="B612" s="146"/>
      <c r="C612" s="71"/>
      <c r="D612" s="71"/>
      <c r="E612" s="61"/>
      <c r="F612" s="8"/>
      <c r="G612" s="42" t="s">
        <v>72</v>
      </c>
      <c r="H612" s="13">
        <f t="shared" si="162"/>
        <v>0</v>
      </c>
      <c r="I612" s="13">
        <f t="shared" si="163"/>
        <v>0</v>
      </c>
      <c r="J612" s="13">
        <f aca="true" t="shared" si="166" ref="J612:Q612">L612</f>
        <v>0</v>
      </c>
      <c r="K612" s="13">
        <f t="shared" si="166"/>
        <v>0</v>
      </c>
      <c r="L612" s="13">
        <f t="shared" si="166"/>
        <v>0</v>
      </c>
      <c r="M612" s="13">
        <f t="shared" si="166"/>
        <v>0</v>
      </c>
      <c r="N612" s="13">
        <f t="shared" si="166"/>
        <v>0</v>
      </c>
      <c r="O612" s="13">
        <f t="shared" si="166"/>
        <v>0</v>
      </c>
      <c r="P612" s="13">
        <f t="shared" si="166"/>
        <v>0</v>
      </c>
      <c r="Q612" s="13">
        <f t="shared" si="166"/>
        <v>0</v>
      </c>
      <c r="R612" s="161"/>
      <c r="S612" s="162"/>
      <c r="T612" s="11"/>
    </row>
    <row r="613" spans="1:20" ht="12.75" customHeight="1">
      <c r="A613" s="164">
        <v>48</v>
      </c>
      <c r="B613" s="145" t="s">
        <v>120</v>
      </c>
      <c r="C613" s="70"/>
      <c r="D613" s="70"/>
      <c r="E613" s="60"/>
      <c r="F613" s="8"/>
      <c r="G613" s="41" t="s">
        <v>9</v>
      </c>
      <c r="H613" s="10">
        <f aca="true" t="shared" si="167" ref="H613:Q613">SUM(H614:H624)</f>
        <v>57.5</v>
      </c>
      <c r="I613" s="10">
        <f t="shared" si="167"/>
        <v>57.5</v>
      </c>
      <c r="J613" s="10">
        <f t="shared" si="167"/>
        <v>57.5</v>
      </c>
      <c r="K613" s="10">
        <f t="shared" si="167"/>
        <v>57.5</v>
      </c>
      <c r="L613" s="10">
        <f t="shared" si="167"/>
        <v>0</v>
      </c>
      <c r="M613" s="10">
        <f t="shared" si="167"/>
        <v>0</v>
      </c>
      <c r="N613" s="10">
        <f t="shared" si="167"/>
        <v>0</v>
      </c>
      <c r="O613" s="10">
        <f t="shared" si="167"/>
        <v>0</v>
      </c>
      <c r="P613" s="10">
        <f t="shared" si="167"/>
        <v>0</v>
      </c>
      <c r="Q613" s="10">
        <f t="shared" si="167"/>
        <v>0</v>
      </c>
      <c r="R613" s="157" t="s">
        <v>36</v>
      </c>
      <c r="S613" s="158"/>
      <c r="T613" s="11"/>
    </row>
    <row r="614" spans="1:20" ht="12.75">
      <c r="A614" s="164"/>
      <c r="B614" s="145"/>
      <c r="C614" s="70"/>
      <c r="D614" s="70"/>
      <c r="E614" s="60"/>
      <c r="F614" s="8"/>
      <c r="G614" s="42" t="s">
        <v>13</v>
      </c>
      <c r="H614" s="13">
        <f>SUM(J614+L614+N614+P614)</f>
        <v>0</v>
      </c>
      <c r="I614" s="13">
        <f>SUM(K614+M614+O614+Q614)</f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9"/>
      <c r="S614" s="160"/>
      <c r="T614" s="11"/>
    </row>
    <row r="615" spans="1:20" ht="27" customHeight="1">
      <c r="A615" s="164"/>
      <c r="B615" s="145"/>
      <c r="C615" s="70"/>
      <c r="D615" s="70"/>
      <c r="E615" s="60"/>
      <c r="F615" s="8"/>
      <c r="G615" s="42" t="s">
        <v>11</v>
      </c>
      <c r="H615" s="13">
        <f aca="true" t="shared" si="168" ref="H615:H624">SUM(J615+L615+N615+P615)</f>
        <v>0</v>
      </c>
      <c r="I615" s="13">
        <f aca="true" t="shared" si="169" ref="I615:I624">SUM(K615+M615+O615+Q615)</f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9"/>
      <c r="S615" s="160"/>
      <c r="T615" s="11"/>
    </row>
    <row r="616" spans="1:20" ht="21.75" customHeight="1">
      <c r="A616" s="164"/>
      <c r="B616" s="145"/>
      <c r="C616" s="70"/>
      <c r="D616" s="70"/>
      <c r="E616" s="60"/>
      <c r="F616" s="8"/>
      <c r="G616" s="42" t="s">
        <v>12</v>
      </c>
      <c r="H616" s="13">
        <f t="shared" si="168"/>
        <v>0</v>
      </c>
      <c r="I616" s="13">
        <f t="shared" si="169"/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9"/>
      <c r="S616" s="160"/>
      <c r="T616" s="11"/>
    </row>
    <row r="617" spans="1:20" ht="12.75">
      <c r="A617" s="164"/>
      <c r="B617" s="145"/>
      <c r="C617" s="70"/>
      <c r="D617" s="70"/>
      <c r="E617" s="60"/>
      <c r="F617" s="8"/>
      <c r="G617" s="42" t="s">
        <v>14</v>
      </c>
      <c r="H617" s="13">
        <f t="shared" si="168"/>
        <v>0</v>
      </c>
      <c r="I617" s="13">
        <f t="shared" si="169"/>
        <v>0</v>
      </c>
      <c r="J617" s="13">
        <f aca="true" t="shared" si="170" ref="J617:Q624">L617</f>
        <v>0</v>
      </c>
      <c r="K617" s="13">
        <f t="shared" si="170"/>
        <v>0</v>
      </c>
      <c r="L617" s="13">
        <f t="shared" si="170"/>
        <v>0</v>
      </c>
      <c r="M617" s="13">
        <f t="shared" si="170"/>
        <v>0</v>
      </c>
      <c r="N617" s="13">
        <f t="shared" si="170"/>
        <v>0</v>
      </c>
      <c r="O617" s="13">
        <f t="shared" si="170"/>
        <v>0</v>
      </c>
      <c r="P617" s="13">
        <f t="shared" si="170"/>
        <v>0</v>
      </c>
      <c r="Q617" s="13">
        <f t="shared" si="170"/>
        <v>0</v>
      </c>
      <c r="R617" s="159"/>
      <c r="S617" s="160"/>
      <c r="T617" s="11"/>
    </row>
    <row r="618" spans="1:20" ht="12.75">
      <c r="A618" s="164"/>
      <c r="B618" s="145"/>
      <c r="C618" s="88"/>
      <c r="D618" s="88"/>
      <c r="E618" s="60"/>
      <c r="F618" s="8"/>
      <c r="G618" s="42" t="s">
        <v>15</v>
      </c>
      <c r="H618" s="13">
        <f t="shared" si="168"/>
        <v>57.5</v>
      </c>
      <c r="I618" s="13">
        <f t="shared" si="169"/>
        <v>57.5</v>
      </c>
      <c r="J618" s="13">
        <v>57.5</v>
      </c>
      <c r="K618" s="13">
        <v>57.5</v>
      </c>
      <c r="L618" s="13">
        <f t="shared" si="170"/>
        <v>0</v>
      </c>
      <c r="M618" s="13">
        <f t="shared" si="170"/>
        <v>0</v>
      </c>
      <c r="N618" s="13">
        <f t="shared" si="170"/>
        <v>0</v>
      </c>
      <c r="O618" s="13">
        <f t="shared" si="170"/>
        <v>0</v>
      </c>
      <c r="P618" s="13">
        <f t="shared" si="170"/>
        <v>0</v>
      </c>
      <c r="Q618" s="13">
        <f t="shared" si="170"/>
        <v>0</v>
      </c>
      <c r="R618" s="159"/>
      <c r="S618" s="160"/>
      <c r="T618" s="11"/>
    </row>
    <row r="619" spans="1:20" ht="12.75">
      <c r="A619" s="164"/>
      <c r="B619" s="145"/>
      <c r="C619" s="70"/>
      <c r="D619" s="70"/>
      <c r="E619" s="60" t="s">
        <v>50</v>
      </c>
      <c r="F619" s="8"/>
      <c r="G619" s="12" t="s">
        <v>61</v>
      </c>
      <c r="H619" s="13">
        <f t="shared" si="168"/>
        <v>0</v>
      </c>
      <c r="I619" s="13">
        <f t="shared" si="169"/>
        <v>0</v>
      </c>
      <c r="J619" s="13">
        <f t="shared" si="170"/>
        <v>0</v>
      </c>
      <c r="K619" s="13">
        <f t="shared" si="170"/>
        <v>0</v>
      </c>
      <c r="L619" s="13">
        <f t="shared" si="170"/>
        <v>0</v>
      </c>
      <c r="M619" s="13">
        <f t="shared" si="170"/>
        <v>0</v>
      </c>
      <c r="N619" s="13">
        <f t="shared" si="170"/>
        <v>0</v>
      </c>
      <c r="O619" s="13">
        <f t="shared" si="170"/>
        <v>0</v>
      </c>
      <c r="P619" s="13">
        <f t="shared" si="170"/>
        <v>0</v>
      </c>
      <c r="Q619" s="13">
        <f t="shared" si="170"/>
        <v>0</v>
      </c>
      <c r="R619" s="159"/>
      <c r="S619" s="160"/>
      <c r="T619" s="11"/>
    </row>
    <row r="620" spans="1:20" ht="12.75">
      <c r="A620" s="164"/>
      <c r="B620" s="145"/>
      <c r="C620" s="70"/>
      <c r="D620" s="70"/>
      <c r="E620" s="60"/>
      <c r="F620" s="8"/>
      <c r="G620" s="42" t="s">
        <v>110</v>
      </c>
      <c r="H620" s="13">
        <f t="shared" si="168"/>
        <v>0</v>
      </c>
      <c r="I620" s="13">
        <f t="shared" si="169"/>
        <v>0</v>
      </c>
      <c r="J620" s="13">
        <f t="shared" si="170"/>
        <v>0</v>
      </c>
      <c r="K620" s="13">
        <f t="shared" si="170"/>
        <v>0</v>
      </c>
      <c r="L620" s="13">
        <f t="shared" si="170"/>
        <v>0</v>
      </c>
      <c r="M620" s="13">
        <f t="shared" si="170"/>
        <v>0</v>
      </c>
      <c r="N620" s="13">
        <f t="shared" si="170"/>
        <v>0</v>
      </c>
      <c r="O620" s="13">
        <f t="shared" si="170"/>
        <v>0</v>
      </c>
      <c r="P620" s="13">
        <f t="shared" si="170"/>
        <v>0</v>
      </c>
      <c r="Q620" s="13">
        <f t="shared" si="170"/>
        <v>0</v>
      </c>
      <c r="R620" s="159"/>
      <c r="S620" s="160"/>
      <c r="T620" s="11"/>
    </row>
    <row r="621" spans="1:20" ht="12.75">
      <c r="A621" s="164"/>
      <c r="B621" s="145"/>
      <c r="C621" s="70"/>
      <c r="D621" s="70"/>
      <c r="E621" s="60"/>
      <c r="F621" s="8"/>
      <c r="G621" s="42" t="s">
        <v>111</v>
      </c>
      <c r="H621" s="13">
        <f t="shared" si="168"/>
        <v>0</v>
      </c>
      <c r="I621" s="13">
        <f t="shared" si="169"/>
        <v>0</v>
      </c>
      <c r="J621" s="13">
        <f t="shared" si="170"/>
        <v>0</v>
      </c>
      <c r="K621" s="13">
        <f t="shared" si="170"/>
        <v>0</v>
      </c>
      <c r="L621" s="13">
        <f t="shared" si="170"/>
        <v>0</v>
      </c>
      <c r="M621" s="13">
        <f t="shared" si="170"/>
        <v>0</v>
      </c>
      <c r="N621" s="13">
        <f t="shared" si="170"/>
        <v>0</v>
      </c>
      <c r="O621" s="13">
        <f t="shared" si="170"/>
        <v>0</v>
      </c>
      <c r="P621" s="13">
        <f t="shared" si="170"/>
        <v>0</v>
      </c>
      <c r="Q621" s="13">
        <f t="shared" si="170"/>
        <v>0</v>
      </c>
      <c r="R621" s="159"/>
      <c r="S621" s="160"/>
      <c r="T621" s="11"/>
    </row>
    <row r="622" spans="1:20" ht="12.75">
      <c r="A622" s="164"/>
      <c r="B622" s="145"/>
      <c r="C622" s="70"/>
      <c r="D622" s="70"/>
      <c r="E622" s="60"/>
      <c r="F622" s="8"/>
      <c r="G622" s="42" t="s">
        <v>112</v>
      </c>
      <c r="H622" s="13">
        <f t="shared" si="168"/>
        <v>0</v>
      </c>
      <c r="I622" s="13">
        <f t="shared" si="169"/>
        <v>0</v>
      </c>
      <c r="J622" s="13">
        <f t="shared" si="170"/>
        <v>0</v>
      </c>
      <c r="K622" s="13">
        <f t="shared" si="170"/>
        <v>0</v>
      </c>
      <c r="L622" s="13">
        <f t="shared" si="170"/>
        <v>0</v>
      </c>
      <c r="M622" s="13">
        <f t="shared" si="170"/>
        <v>0</v>
      </c>
      <c r="N622" s="13">
        <f t="shared" si="170"/>
        <v>0</v>
      </c>
      <c r="O622" s="13">
        <f t="shared" si="170"/>
        <v>0</v>
      </c>
      <c r="P622" s="13">
        <f t="shared" si="170"/>
        <v>0</v>
      </c>
      <c r="Q622" s="13">
        <f t="shared" si="170"/>
        <v>0</v>
      </c>
      <c r="R622" s="159"/>
      <c r="S622" s="160"/>
      <c r="T622" s="11"/>
    </row>
    <row r="623" spans="1:20" ht="12.75">
      <c r="A623" s="164"/>
      <c r="B623" s="145"/>
      <c r="C623" s="70"/>
      <c r="D623" s="70"/>
      <c r="E623" s="60"/>
      <c r="F623" s="8"/>
      <c r="G623" s="12" t="s">
        <v>113</v>
      </c>
      <c r="H623" s="13">
        <f t="shared" si="168"/>
        <v>0</v>
      </c>
      <c r="I623" s="13">
        <f t="shared" si="169"/>
        <v>0</v>
      </c>
      <c r="J623" s="13">
        <f t="shared" si="170"/>
        <v>0</v>
      </c>
      <c r="K623" s="13">
        <f t="shared" si="170"/>
        <v>0</v>
      </c>
      <c r="L623" s="13">
        <f t="shared" si="170"/>
        <v>0</v>
      </c>
      <c r="M623" s="13">
        <f t="shared" si="170"/>
        <v>0</v>
      </c>
      <c r="N623" s="13">
        <f t="shared" si="170"/>
        <v>0</v>
      </c>
      <c r="O623" s="13">
        <f t="shared" si="170"/>
        <v>0</v>
      </c>
      <c r="P623" s="13">
        <f t="shared" si="170"/>
        <v>0</v>
      </c>
      <c r="Q623" s="13">
        <f t="shared" si="170"/>
        <v>0</v>
      </c>
      <c r="R623" s="159"/>
      <c r="S623" s="160"/>
      <c r="T623" s="11"/>
    </row>
    <row r="624" spans="1:20" ht="12.75">
      <c r="A624" s="165"/>
      <c r="B624" s="146"/>
      <c r="C624" s="70"/>
      <c r="D624" s="70"/>
      <c r="E624" s="60"/>
      <c r="F624" s="8"/>
      <c r="G624" s="42" t="s">
        <v>72</v>
      </c>
      <c r="H624" s="13">
        <f t="shared" si="168"/>
        <v>0</v>
      </c>
      <c r="I624" s="13">
        <f t="shared" si="169"/>
        <v>0</v>
      </c>
      <c r="J624" s="13">
        <f t="shared" si="170"/>
        <v>0</v>
      </c>
      <c r="K624" s="13">
        <f t="shared" si="170"/>
        <v>0</v>
      </c>
      <c r="L624" s="13">
        <f t="shared" si="170"/>
        <v>0</v>
      </c>
      <c r="M624" s="13">
        <f t="shared" si="170"/>
        <v>0</v>
      </c>
      <c r="N624" s="13">
        <f t="shared" si="170"/>
        <v>0</v>
      </c>
      <c r="O624" s="13">
        <f t="shared" si="170"/>
        <v>0</v>
      </c>
      <c r="P624" s="13">
        <f t="shared" si="170"/>
        <v>0</v>
      </c>
      <c r="Q624" s="13">
        <f t="shared" si="170"/>
        <v>0</v>
      </c>
      <c r="R624" s="161"/>
      <c r="S624" s="162"/>
      <c r="T624" s="11"/>
    </row>
    <row r="625" spans="1:20" ht="12.75">
      <c r="A625" s="163">
        <v>49</v>
      </c>
      <c r="B625" s="144" t="s">
        <v>127</v>
      </c>
      <c r="C625" s="69"/>
      <c r="D625" s="69"/>
      <c r="E625" s="59"/>
      <c r="F625" s="8"/>
      <c r="G625" s="41" t="s">
        <v>9</v>
      </c>
      <c r="H625" s="10">
        <f aca="true" t="shared" si="171" ref="H625:Q625">SUM(H626:H636)</f>
        <v>456</v>
      </c>
      <c r="I625" s="10">
        <f t="shared" si="171"/>
        <v>456</v>
      </c>
      <c r="J625" s="10">
        <f t="shared" si="171"/>
        <v>456</v>
      </c>
      <c r="K625" s="10">
        <f t="shared" si="171"/>
        <v>456</v>
      </c>
      <c r="L625" s="10">
        <f t="shared" si="171"/>
        <v>0</v>
      </c>
      <c r="M625" s="10">
        <f t="shared" si="171"/>
        <v>0</v>
      </c>
      <c r="N625" s="10">
        <f t="shared" si="171"/>
        <v>0</v>
      </c>
      <c r="O625" s="10">
        <f t="shared" si="171"/>
        <v>0</v>
      </c>
      <c r="P625" s="10">
        <f t="shared" si="171"/>
        <v>0</v>
      </c>
      <c r="Q625" s="10">
        <f t="shared" si="171"/>
        <v>0</v>
      </c>
      <c r="R625" s="58"/>
      <c r="S625" s="62"/>
      <c r="T625" s="11"/>
    </row>
    <row r="626" spans="1:20" ht="12.75">
      <c r="A626" s="164"/>
      <c r="B626" s="145"/>
      <c r="C626" s="70"/>
      <c r="D626" s="70"/>
      <c r="E626" s="60"/>
      <c r="F626" s="8"/>
      <c r="G626" s="42" t="s">
        <v>13</v>
      </c>
      <c r="H626" s="13">
        <f>SUM(J626+L626+N626+P626)</f>
        <v>0</v>
      </c>
      <c r="I626" s="13">
        <f>SUM(K626+M626+O626+Q626)</f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9" t="s">
        <v>36</v>
      </c>
      <c r="S626" s="160"/>
      <c r="T626" s="11"/>
    </row>
    <row r="627" spans="1:20" ht="12.75">
      <c r="A627" s="164"/>
      <c r="B627" s="145"/>
      <c r="C627" s="70"/>
      <c r="D627" s="70"/>
      <c r="E627" s="60"/>
      <c r="F627" s="8"/>
      <c r="G627" s="42" t="s">
        <v>11</v>
      </c>
      <c r="H627" s="13">
        <f aca="true" t="shared" si="172" ref="H627:H636">SUM(J627+L627+N627+P627)</f>
        <v>0</v>
      </c>
      <c r="I627" s="13">
        <f aca="true" t="shared" si="173" ref="I627:I636">SUM(K627+M627+O627+Q627)</f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9"/>
      <c r="S627" s="160"/>
      <c r="T627" s="11"/>
    </row>
    <row r="628" spans="1:20" ht="12.75">
      <c r="A628" s="164"/>
      <c r="B628" s="145"/>
      <c r="C628" s="70"/>
      <c r="D628" s="70"/>
      <c r="E628" s="60"/>
      <c r="F628" s="8"/>
      <c r="G628" s="42" t="s">
        <v>12</v>
      </c>
      <c r="H628" s="13">
        <f t="shared" si="172"/>
        <v>0</v>
      </c>
      <c r="I628" s="13">
        <f t="shared" si="173"/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9"/>
      <c r="S628" s="160"/>
      <c r="T628" s="11"/>
    </row>
    <row r="629" spans="1:20" ht="12.75">
      <c r="A629" s="164"/>
      <c r="B629" s="145"/>
      <c r="C629" s="70"/>
      <c r="D629" s="70"/>
      <c r="E629" s="60"/>
      <c r="F629" s="8"/>
      <c r="G629" s="42" t="s">
        <v>14</v>
      </c>
      <c r="H629" s="13">
        <f t="shared" si="172"/>
        <v>0</v>
      </c>
      <c r="I629" s="13">
        <f t="shared" si="173"/>
        <v>0</v>
      </c>
      <c r="J629" s="13">
        <f>L629</f>
        <v>0</v>
      </c>
      <c r="K629" s="13">
        <f>M629</f>
        <v>0</v>
      </c>
      <c r="L629" s="13">
        <f aca="true" t="shared" si="174" ref="L629:L636">N629</f>
        <v>0</v>
      </c>
      <c r="M629" s="13">
        <f aca="true" t="shared" si="175" ref="M629:M636">O629</f>
        <v>0</v>
      </c>
      <c r="N629" s="13">
        <f aca="true" t="shared" si="176" ref="N629:N636">P629</f>
        <v>0</v>
      </c>
      <c r="O629" s="13">
        <f aca="true" t="shared" si="177" ref="O629:O636">Q629</f>
        <v>0</v>
      </c>
      <c r="P629" s="13">
        <f aca="true" t="shared" si="178" ref="P629:P636">R629</f>
        <v>0</v>
      </c>
      <c r="Q629" s="13">
        <f aca="true" t="shared" si="179" ref="Q629:Q636">S629</f>
        <v>0</v>
      </c>
      <c r="R629" s="159"/>
      <c r="S629" s="160"/>
      <c r="T629" s="11"/>
    </row>
    <row r="630" spans="1:20" ht="12.75">
      <c r="A630" s="164"/>
      <c r="B630" s="145"/>
      <c r="C630" s="70"/>
      <c r="D630" s="70"/>
      <c r="E630" s="60" t="s">
        <v>50</v>
      </c>
      <c r="F630" s="8"/>
      <c r="G630" s="42" t="s">
        <v>15</v>
      </c>
      <c r="H630" s="13">
        <f t="shared" si="172"/>
        <v>456</v>
      </c>
      <c r="I630" s="13">
        <f t="shared" si="173"/>
        <v>456</v>
      </c>
      <c r="J630" s="13">
        <v>456</v>
      </c>
      <c r="K630" s="13">
        <v>456</v>
      </c>
      <c r="L630" s="13">
        <f t="shared" si="174"/>
        <v>0</v>
      </c>
      <c r="M630" s="13">
        <f t="shared" si="175"/>
        <v>0</v>
      </c>
      <c r="N630" s="13">
        <f t="shared" si="176"/>
        <v>0</v>
      </c>
      <c r="O630" s="13">
        <f t="shared" si="177"/>
        <v>0</v>
      </c>
      <c r="P630" s="13">
        <f t="shared" si="178"/>
        <v>0</v>
      </c>
      <c r="Q630" s="13">
        <f t="shared" si="179"/>
        <v>0</v>
      </c>
      <c r="R630" s="159"/>
      <c r="S630" s="160"/>
      <c r="T630" s="11"/>
    </row>
    <row r="631" spans="1:20" ht="12.75">
      <c r="A631" s="164"/>
      <c r="B631" s="145"/>
      <c r="C631" s="88"/>
      <c r="D631" s="88"/>
      <c r="E631" s="60"/>
      <c r="F631" s="8"/>
      <c r="G631" s="12" t="s">
        <v>61</v>
      </c>
      <c r="H631" s="13">
        <f t="shared" si="172"/>
        <v>0</v>
      </c>
      <c r="I631" s="13">
        <f t="shared" si="173"/>
        <v>0</v>
      </c>
      <c r="J631" s="13">
        <f aca="true" t="shared" si="180" ref="J631:J636">L631</f>
        <v>0</v>
      </c>
      <c r="K631" s="13">
        <f aca="true" t="shared" si="181" ref="K631:K636">M631</f>
        <v>0</v>
      </c>
      <c r="L631" s="13">
        <f t="shared" si="174"/>
        <v>0</v>
      </c>
      <c r="M631" s="13">
        <f t="shared" si="175"/>
        <v>0</v>
      </c>
      <c r="N631" s="13">
        <f t="shared" si="176"/>
        <v>0</v>
      </c>
      <c r="O631" s="13">
        <f t="shared" si="177"/>
        <v>0</v>
      </c>
      <c r="P631" s="13">
        <f t="shared" si="178"/>
        <v>0</v>
      </c>
      <c r="Q631" s="13">
        <f t="shared" si="179"/>
        <v>0</v>
      </c>
      <c r="R631" s="159"/>
      <c r="S631" s="160"/>
      <c r="T631" s="11"/>
    </row>
    <row r="632" spans="1:20" ht="12.75">
      <c r="A632" s="164"/>
      <c r="B632" s="145"/>
      <c r="C632" s="70"/>
      <c r="D632" s="70"/>
      <c r="E632" s="60"/>
      <c r="F632" s="8"/>
      <c r="G632" s="42" t="s">
        <v>110</v>
      </c>
      <c r="H632" s="13">
        <f t="shared" si="172"/>
        <v>0</v>
      </c>
      <c r="I632" s="13">
        <f t="shared" si="173"/>
        <v>0</v>
      </c>
      <c r="J632" s="13">
        <f t="shared" si="180"/>
        <v>0</v>
      </c>
      <c r="K632" s="13">
        <f t="shared" si="181"/>
        <v>0</v>
      </c>
      <c r="L632" s="13">
        <f t="shared" si="174"/>
        <v>0</v>
      </c>
      <c r="M632" s="13">
        <f t="shared" si="175"/>
        <v>0</v>
      </c>
      <c r="N632" s="13">
        <f t="shared" si="176"/>
        <v>0</v>
      </c>
      <c r="O632" s="13">
        <f t="shared" si="177"/>
        <v>0</v>
      </c>
      <c r="P632" s="13">
        <f t="shared" si="178"/>
        <v>0</v>
      </c>
      <c r="Q632" s="13">
        <f t="shared" si="179"/>
        <v>0</v>
      </c>
      <c r="R632" s="159"/>
      <c r="S632" s="160"/>
      <c r="T632" s="11"/>
    </row>
    <row r="633" spans="1:20" ht="12.75">
      <c r="A633" s="164"/>
      <c r="B633" s="145"/>
      <c r="C633" s="70"/>
      <c r="D633" s="70"/>
      <c r="E633" s="60"/>
      <c r="F633" s="8"/>
      <c r="G633" s="42" t="s">
        <v>111</v>
      </c>
      <c r="H633" s="13">
        <f t="shared" si="172"/>
        <v>0</v>
      </c>
      <c r="I633" s="13">
        <f t="shared" si="173"/>
        <v>0</v>
      </c>
      <c r="J633" s="13">
        <f t="shared" si="180"/>
        <v>0</v>
      </c>
      <c r="K633" s="13">
        <f t="shared" si="181"/>
        <v>0</v>
      </c>
      <c r="L633" s="13">
        <f t="shared" si="174"/>
        <v>0</v>
      </c>
      <c r="M633" s="13">
        <f t="shared" si="175"/>
        <v>0</v>
      </c>
      <c r="N633" s="13">
        <f t="shared" si="176"/>
        <v>0</v>
      </c>
      <c r="O633" s="13">
        <f t="shared" si="177"/>
        <v>0</v>
      </c>
      <c r="P633" s="13">
        <f t="shared" si="178"/>
        <v>0</v>
      </c>
      <c r="Q633" s="13">
        <f t="shared" si="179"/>
        <v>0</v>
      </c>
      <c r="R633" s="159"/>
      <c r="S633" s="160"/>
      <c r="T633" s="11"/>
    </row>
    <row r="634" spans="1:20" ht="12.75">
      <c r="A634" s="164"/>
      <c r="B634" s="145"/>
      <c r="C634" s="70"/>
      <c r="D634" s="70"/>
      <c r="E634" s="60"/>
      <c r="F634" s="8"/>
      <c r="G634" s="42" t="s">
        <v>112</v>
      </c>
      <c r="H634" s="13">
        <f t="shared" si="172"/>
        <v>0</v>
      </c>
      <c r="I634" s="13">
        <f t="shared" si="173"/>
        <v>0</v>
      </c>
      <c r="J634" s="13">
        <f t="shared" si="180"/>
        <v>0</v>
      </c>
      <c r="K634" s="13">
        <f t="shared" si="181"/>
        <v>0</v>
      </c>
      <c r="L634" s="13">
        <f t="shared" si="174"/>
        <v>0</v>
      </c>
      <c r="M634" s="13">
        <f t="shared" si="175"/>
        <v>0</v>
      </c>
      <c r="N634" s="13">
        <f t="shared" si="176"/>
        <v>0</v>
      </c>
      <c r="O634" s="13">
        <f t="shared" si="177"/>
        <v>0</v>
      </c>
      <c r="P634" s="13">
        <f t="shared" si="178"/>
        <v>0</v>
      </c>
      <c r="Q634" s="13">
        <f t="shared" si="179"/>
        <v>0</v>
      </c>
      <c r="R634" s="159"/>
      <c r="S634" s="160"/>
      <c r="T634" s="11"/>
    </row>
    <row r="635" spans="1:20" ht="12.75">
      <c r="A635" s="164"/>
      <c r="B635" s="145"/>
      <c r="C635" s="70"/>
      <c r="D635" s="70"/>
      <c r="E635" s="60"/>
      <c r="F635" s="8"/>
      <c r="G635" s="12" t="s">
        <v>113</v>
      </c>
      <c r="H635" s="13">
        <f t="shared" si="172"/>
        <v>0</v>
      </c>
      <c r="I635" s="13">
        <f t="shared" si="173"/>
        <v>0</v>
      </c>
      <c r="J635" s="13">
        <f t="shared" si="180"/>
        <v>0</v>
      </c>
      <c r="K635" s="13">
        <f t="shared" si="181"/>
        <v>0</v>
      </c>
      <c r="L635" s="13">
        <f t="shared" si="174"/>
        <v>0</v>
      </c>
      <c r="M635" s="13">
        <f t="shared" si="175"/>
        <v>0</v>
      </c>
      <c r="N635" s="13">
        <f t="shared" si="176"/>
        <v>0</v>
      </c>
      <c r="O635" s="13">
        <f t="shared" si="177"/>
        <v>0</v>
      </c>
      <c r="P635" s="13">
        <f t="shared" si="178"/>
        <v>0</v>
      </c>
      <c r="Q635" s="13">
        <f t="shared" si="179"/>
        <v>0</v>
      </c>
      <c r="R635" s="159"/>
      <c r="S635" s="160"/>
      <c r="T635" s="11"/>
    </row>
    <row r="636" spans="1:20" ht="36.75" customHeight="1">
      <c r="A636" s="165"/>
      <c r="B636" s="146"/>
      <c r="C636" s="70"/>
      <c r="D636" s="70"/>
      <c r="E636" s="60"/>
      <c r="F636" s="8"/>
      <c r="G636" s="42" t="s">
        <v>72</v>
      </c>
      <c r="H636" s="13">
        <f t="shared" si="172"/>
        <v>0</v>
      </c>
      <c r="I636" s="13">
        <f t="shared" si="173"/>
        <v>0</v>
      </c>
      <c r="J636" s="13">
        <f t="shared" si="180"/>
        <v>0</v>
      </c>
      <c r="K636" s="13">
        <f t="shared" si="181"/>
        <v>0</v>
      </c>
      <c r="L636" s="13">
        <f t="shared" si="174"/>
        <v>0</v>
      </c>
      <c r="M636" s="13">
        <f t="shared" si="175"/>
        <v>0</v>
      </c>
      <c r="N636" s="13">
        <f t="shared" si="176"/>
        <v>0</v>
      </c>
      <c r="O636" s="13">
        <f t="shared" si="177"/>
        <v>0</v>
      </c>
      <c r="P636" s="13">
        <f t="shared" si="178"/>
        <v>0</v>
      </c>
      <c r="Q636" s="13">
        <f t="shared" si="179"/>
        <v>0</v>
      </c>
      <c r="R636" s="161"/>
      <c r="S636" s="162"/>
      <c r="T636" s="11"/>
    </row>
    <row r="637" spans="1:20" ht="12.75">
      <c r="A637" s="163">
        <v>50</v>
      </c>
      <c r="B637" s="144" t="s">
        <v>126</v>
      </c>
      <c r="C637" s="69"/>
      <c r="D637" s="69"/>
      <c r="E637" s="59"/>
      <c r="F637" s="8"/>
      <c r="G637" s="41" t="s">
        <v>9</v>
      </c>
      <c r="H637" s="10">
        <f aca="true" t="shared" si="182" ref="H637:Q637">SUM(H638:H648)</f>
        <v>170.3</v>
      </c>
      <c r="I637" s="10">
        <f t="shared" si="182"/>
        <v>170.3</v>
      </c>
      <c r="J637" s="10">
        <f t="shared" si="182"/>
        <v>170.3</v>
      </c>
      <c r="K637" s="10">
        <f t="shared" si="182"/>
        <v>170.3</v>
      </c>
      <c r="L637" s="10">
        <f t="shared" si="182"/>
        <v>0</v>
      </c>
      <c r="M637" s="10">
        <f t="shared" si="182"/>
        <v>0</v>
      </c>
      <c r="N637" s="10">
        <f t="shared" si="182"/>
        <v>0</v>
      </c>
      <c r="O637" s="10">
        <f t="shared" si="182"/>
        <v>0</v>
      </c>
      <c r="P637" s="10">
        <f t="shared" si="182"/>
        <v>0</v>
      </c>
      <c r="Q637" s="10">
        <f t="shared" si="182"/>
        <v>0</v>
      </c>
      <c r="R637" s="157" t="s">
        <v>36</v>
      </c>
      <c r="S637" s="158"/>
      <c r="T637" s="11"/>
    </row>
    <row r="638" spans="1:20" ht="12.75">
      <c r="A638" s="164"/>
      <c r="B638" s="145"/>
      <c r="C638" s="70"/>
      <c r="D638" s="70"/>
      <c r="E638" s="60"/>
      <c r="F638" s="8"/>
      <c r="G638" s="42" t="s">
        <v>13</v>
      </c>
      <c r="H638" s="13">
        <f>SUM(J638+L638+N638+P638)</f>
        <v>0</v>
      </c>
      <c r="I638" s="13">
        <f>SUM(K638+M638+O638+Q638)</f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59"/>
      <c r="S638" s="160"/>
      <c r="T638" s="11"/>
    </row>
    <row r="639" spans="1:20" ht="12.75">
      <c r="A639" s="164"/>
      <c r="B639" s="145"/>
      <c r="C639" s="70"/>
      <c r="D639" s="70"/>
      <c r="E639" s="60"/>
      <c r="F639" s="8"/>
      <c r="G639" s="42" t="s">
        <v>11</v>
      </c>
      <c r="H639" s="13">
        <f aca="true" t="shared" si="183" ref="H639:H648">SUM(J639+L639+N639+P639)</f>
        <v>0</v>
      </c>
      <c r="I639" s="13">
        <f aca="true" t="shared" si="184" ref="I639:I648">SUM(K639+M639+O639+Q639)</f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59"/>
      <c r="S639" s="160"/>
      <c r="T639" s="11"/>
    </row>
    <row r="640" spans="1:20" ht="12.75">
      <c r="A640" s="164"/>
      <c r="B640" s="145"/>
      <c r="C640" s="70"/>
      <c r="D640" s="70"/>
      <c r="E640" s="60"/>
      <c r="F640" s="8"/>
      <c r="G640" s="42" t="s">
        <v>12</v>
      </c>
      <c r="H640" s="13">
        <f t="shared" si="183"/>
        <v>0</v>
      </c>
      <c r="I640" s="13">
        <f t="shared" si="184"/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59"/>
      <c r="S640" s="160"/>
      <c r="T640" s="11"/>
    </row>
    <row r="641" spans="1:20" ht="12.75">
      <c r="A641" s="164"/>
      <c r="B641" s="145"/>
      <c r="C641" s="70"/>
      <c r="D641" s="70"/>
      <c r="E641" s="60"/>
      <c r="F641" s="8"/>
      <c r="G641" s="42" t="s">
        <v>14</v>
      </c>
      <c r="H641" s="13">
        <f t="shared" si="183"/>
        <v>0</v>
      </c>
      <c r="I641" s="13">
        <f t="shared" si="184"/>
        <v>0</v>
      </c>
      <c r="J641" s="13">
        <f>L641</f>
        <v>0</v>
      </c>
      <c r="K641" s="13">
        <f>M641</f>
        <v>0</v>
      </c>
      <c r="L641" s="13">
        <f aca="true" t="shared" si="185" ref="L641:L648">N641</f>
        <v>0</v>
      </c>
      <c r="M641" s="13">
        <f aca="true" t="shared" si="186" ref="M641:M648">O641</f>
        <v>0</v>
      </c>
      <c r="N641" s="13">
        <f aca="true" t="shared" si="187" ref="N641:N648">P641</f>
        <v>0</v>
      </c>
      <c r="O641" s="13">
        <f aca="true" t="shared" si="188" ref="O641:O648">Q641</f>
        <v>0</v>
      </c>
      <c r="P641" s="13">
        <f aca="true" t="shared" si="189" ref="P641:P648">R641</f>
        <v>0</v>
      </c>
      <c r="Q641" s="13">
        <f aca="true" t="shared" si="190" ref="Q641:Q648">S641</f>
        <v>0</v>
      </c>
      <c r="R641" s="159"/>
      <c r="S641" s="160"/>
      <c r="T641" s="11"/>
    </row>
    <row r="642" spans="1:20" ht="12.75">
      <c r="A642" s="164"/>
      <c r="B642" s="145"/>
      <c r="C642" s="88"/>
      <c r="D642" s="88"/>
      <c r="E642" s="60" t="s">
        <v>51</v>
      </c>
      <c r="F642" s="8"/>
      <c r="G642" s="42" t="s">
        <v>15</v>
      </c>
      <c r="H642" s="13">
        <f t="shared" si="183"/>
        <v>170.3</v>
      </c>
      <c r="I642" s="13">
        <f t="shared" si="184"/>
        <v>170.3</v>
      </c>
      <c r="J642" s="13">
        <v>170.3</v>
      </c>
      <c r="K642" s="13">
        <v>170.3</v>
      </c>
      <c r="L642" s="13">
        <f t="shared" si="185"/>
        <v>0</v>
      </c>
      <c r="M642" s="13">
        <f t="shared" si="186"/>
        <v>0</v>
      </c>
      <c r="N642" s="13">
        <f t="shared" si="187"/>
        <v>0</v>
      </c>
      <c r="O642" s="13">
        <f t="shared" si="188"/>
        <v>0</v>
      </c>
      <c r="P642" s="13">
        <f t="shared" si="189"/>
        <v>0</v>
      </c>
      <c r="Q642" s="13">
        <f t="shared" si="190"/>
        <v>0</v>
      </c>
      <c r="R642" s="159"/>
      <c r="S642" s="160"/>
      <c r="T642" s="11"/>
    </row>
    <row r="643" spans="1:20" ht="12.75">
      <c r="A643" s="164"/>
      <c r="B643" s="145"/>
      <c r="C643" s="70"/>
      <c r="D643" s="70"/>
      <c r="E643" s="60"/>
      <c r="F643" s="8"/>
      <c r="G643" s="12" t="s">
        <v>61</v>
      </c>
      <c r="H643" s="13">
        <f t="shared" si="183"/>
        <v>0</v>
      </c>
      <c r="I643" s="13">
        <f t="shared" si="184"/>
        <v>0</v>
      </c>
      <c r="J643" s="13">
        <f aca="true" t="shared" si="191" ref="J643:J648">L643</f>
        <v>0</v>
      </c>
      <c r="K643" s="13">
        <f aca="true" t="shared" si="192" ref="K643:K648">M643</f>
        <v>0</v>
      </c>
      <c r="L643" s="13">
        <f t="shared" si="185"/>
        <v>0</v>
      </c>
      <c r="M643" s="13">
        <f t="shared" si="186"/>
        <v>0</v>
      </c>
      <c r="N643" s="13">
        <f t="shared" si="187"/>
        <v>0</v>
      </c>
      <c r="O643" s="13">
        <f t="shared" si="188"/>
        <v>0</v>
      </c>
      <c r="P643" s="13">
        <f t="shared" si="189"/>
        <v>0</v>
      </c>
      <c r="Q643" s="13">
        <f t="shared" si="190"/>
        <v>0</v>
      </c>
      <c r="R643" s="159"/>
      <c r="S643" s="160"/>
      <c r="T643" s="11"/>
    </row>
    <row r="644" spans="1:20" ht="12.75">
      <c r="A644" s="164"/>
      <c r="B644" s="145"/>
      <c r="C644" s="70"/>
      <c r="D644" s="70"/>
      <c r="E644" s="60"/>
      <c r="F644" s="8"/>
      <c r="G644" s="42" t="s">
        <v>110</v>
      </c>
      <c r="H644" s="13">
        <f t="shared" si="183"/>
        <v>0</v>
      </c>
      <c r="I644" s="13">
        <f t="shared" si="184"/>
        <v>0</v>
      </c>
      <c r="J644" s="13">
        <f t="shared" si="191"/>
        <v>0</v>
      </c>
      <c r="K644" s="13">
        <f t="shared" si="192"/>
        <v>0</v>
      </c>
      <c r="L644" s="13">
        <f t="shared" si="185"/>
        <v>0</v>
      </c>
      <c r="M644" s="13">
        <f t="shared" si="186"/>
        <v>0</v>
      </c>
      <c r="N644" s="13">
        <f t="shared" si="187"/>
        <v>0</v>
      </c>
      <c r="O644" s="13">
        <f t="shared" si="188"/>
        <v>0</v>
      </c>
      <c r="P644" s="13">
        <f t="shared" si="189"/>
        <v>0</v>
      </c>
      <c r="Q644" s="13">
        <f t="shared" si="190"/>
        <v>0</v>
      </c>
      <c r="R644" s="159"/>
      <c r="S644" s="160"/>
      <c r="T644" s="11"/>
    </row>
    <row r="645" spans="1:20" ht="12.75">
      <c r="A645" s="164"/>
      <c r="B645" s="145"/>
      <c r="C645" s="70"/>
      <c r="D645" s="70"/>
      <c r="E645" s="60"/>
      <c r="F645" s="8"/>
      <c r="G645" s="42" t="s">
        <v>111</v>
      </c>
      <c r="H645" s="13">
        <f t="shared" si="183"/>
        <v>0</v>
      </c>
      <c r="I645" s="13">
        <f t="shared" si="184"/>
        <v>0</v>
      </c>
      <c r="J645" s="13">
        <f t="shared" si="191"/>
        <v>0</v>
      </c>
      <c r="K645" s="13">
        <f t="shared" si="192"/>
        <v>0</v>
      </c>
      <c r="L645" s="13">
        <f t="shared" si="185"/>
        <v>0</v>
      </c>
      <c r="M645" s="13">
        <f t="shared" si="186"/>
        <v>0</v>
      </c>
      <c r="N645" s="13">
        <f t="shared" si="187"/>
        <v>0</v>
      </c>
      <c r="O645" s="13">
        <f t="shared" si="188"/>
        <v>0</v>
      </c>
      <c r="P645" s="13">
        <f t="shared" si="189"/>
        <v>0</v>
      </c>
      <c r="Q645" s="13">
        <f t="shared" si="190"/>
        <v>0</v>
      </c>
      <c r="R645" s="159"/>
      <c r="S645" s="160"/>
      <c r="T645" s="11"/>
    </row>
    <row r="646" spans="1:20" ht="12.75">
      <c r="A646" s="164"/>
      <c r="B646" s="145"/>
      <c r="C646" s="70"/>
      <c r="D646" s="70"/>
      <c r="E646" s="60"/>
      <c r="F646" s="8"/>
      <c r="G646" s="42" t="s">
        <v>112</v>
      </c>
      <c r="H646" s="13">
        <f t="shared" si="183"/>
        <v>0</v>
      </c>
      <c r="I646" s="13">
        <f t="shared" si="184"/>
        <v>0</v>
      </c>
      <c r="J646" s="13">
        <f t="shared" si="191"/>
        <v>0</v>
      </c>
      <c r="K646" s="13">
        <f t="shared" si="192"/>
        <v>0</v>
      </c>
      <c r="L646" s="13">
        <f t="shared" si="185"/>
        <v>0</v>
      </c>
      <c r="M646" s="13">
        <f t="shared" si="186"/>
        <v>0</v>
      </c>
      <c r="N646" s="13">
        <f t="shared" si="187"/>
        <v>0</v>
      </c>
      <c r="O646" s="13">
        <f t="shared" si="188"/>
        <v>0</v>
      </c>
      <c r="P646" s="13">
        <f t="shared" si="189"/>
        <v>0</v>
      </c>
      <c r="Q646" s="13">
        <f t="shared" si="190"/>
        <v>0</v>
      </c>
      <c r="R646" s="159"/>
      <c r="S646" s="160"/>
      <c r="T646" s="11"/>
    </row>
    <row r="647" spans="1:20" ht="12.75">
      <c r="A647" s="164"/>
      <c r="B647" s="145"/>
      <c r="C647" s="70"/>
      <c r="D647" s="70"/>
      <c r="E647" s="60"/>
      <c r="F647" s="8"/>
      <c r="G647" s="12" t="s">
        <v>113</v>
      </c>
      <c r="H647" s="13">
        <f t="shared" si="183"/>
        <v>0</v>
      </c>
      <c r="I647" s="13">
        <f t="shared" si="184"/>
        <v>0</v>
      </c>
      <c r="J647" s="13">
        <f t="shared" si="191"/>
        <v>0</v>
      </c>
      <c r="K647" s="13">
        <f t="shared" si="192"/>
        <v>0</v>
      </c>
      <c r="L647" s="13">
        <f t="shared" si="185"/>
        <v>0</v>
      </c>
      <c r="M647" s="13">
        <f t="shared" si="186"/>
        <v>0</v>
      </c>
      <c r="N647" s="13">
        <f t="shared" si="187"/>
        <v>0</v>
      </c>
      <c r="O647" s="13">
        <f t="shared" si="188"/>
        <v>0</v>
      </c>
      <c r="P647" s="13">
        <f t="shared" si="189"/>
        <v>0</v>
      </c>
      <c r="Q647" s="13">
        <f t="shared" si="190"/>
        <v>0</v>
      </c>
      <c r="R647" s="159"/>
      <c r="S647" s="160"/>
      <c r="T647" s="11"/>
    </row>
    <row r="648" spans="1:20" ht="12.75">
      <c r="A648" s="165"/>
      <c r="B648" s="146"/>
      <c r="C648" s="70"/>
      <c r="D648" s="70"/>
      <c r="E648" s="60"/>
      <c r="F648" s="8"/>
      <c r="G648" s="42" t="s">
        <v>72</v>
      </c>
      <c r="H648" s="13">
        <f t="shared" si="183"/>
        <v>0</v>
      </c>
      <c r="I648" s="13">
        <f t="shared" si="184"/>
        <v>0</v>
      </c>
      <c r="J648" s="13">
        <f t="shared" si="191"/>
        <v>0</v>
      </c>
      <c r="K648" s="13">
        <f t="shared" si="192"/>
        <v>0</v>
      </c>
      <c r="L648" s="13">
        <f t="shared" si="185"/>
        <v>0</v>
      </c>
      <c r="M648" s="13">
        <f t="shared" si="186"/>
        <v>0</v>
      </c>
      <c r="N648" s="13">
        <f t="shared" si="187"/>
        <v>0</v>
      </c>
      <c r="O648" s="13">
        <f t="shared" si="188"/>
        <v>0</v>
      </c>
      <c r="P648" s="13">
        <f t="shared" si="189"/>
        <v>0</v>
      </c>
      <c r="Q648" s="13">
        <f t="shared" si="190"/>
        <v>0</v>
      </c>
      <c r="R648" s="161"/>
      <c r="S648" s="162"/>
      <c r="T648" s="11"/>
    </row>
    <row r="649" spans="1:20" ht="12.75">
      <c r="A649" s="234">
        <v>51</v>
      </c>
      <c r="B649" s="214" t="s">
        <v>143</v>
      </c>
      <c r="C649" s="69"/>
      <c r="D649" s="69"/>
      <c r="E649" s="144"/>
      <c r="F649" s="8"/>
      <c r="G649" s="46" t="s">
        <v>9</v>
      </c>
      <c r="H649" s="13">
        <f>SUM(H651:H660)</f>
        <v>7.2</v>
      </c>
      <c r="I649" s="13">
        <f>SUM(I651:I660)</f>
        <v>0</v>
      </c>
      <c r="J649" s="13">
        <f>SUM(J651:J660)</f>
        <v>7.2</v>
      </c>
      <c r="K649" s="13">
        <f aca="true" t="shared" si="193" ref="K649:Q649">SUM(K650:K660)</f>
        <v>0</v>
      </c>
      <c r="L649" s="13">
        <f t="shared" si="193"/>
        <v>0</v>
      </c>
      <c r="M649" s="13">
        <f t="shared" si="193"/>
        <v>0</v>
      </c>
      <c r="N649" s="13">
        <f t="shared" si="193"/>
        <v>0</v>
      </c>
      <c r="O649" s="13">
        <f t="shared" si="193"/>
        <v>0</v>
      </c>
      <c r="P649" s="13">
        <f t="shared" si="193"/>
        <v>0</v>
      </c>
      <c r="Q649" s="13">
        <f t="shared" si="193"/>
        <v>0</v>
      </c>
      <c r="R649" s="157" t="s">
        <v>149</v>
      </c>
      <c r="S649" s="216"/>
      <c r="T649" s="11"/>
    </row>
    <row r="650" spans="1:20" ht="12.75">
      <c r="A650" s="234"/>
      <c r="B650" s="214"/>
      <c r="C650" s="70"/>
      <c r="D650" s="70"/>
      <c r="E650" s="145"/>
      <c r="F650" s="8"/>
      <c r="G650" s="47" t="s">
        <v>13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59"/>
      <c r="S650" s="217"/>
      <c r="T650" s="11"/>
    </row>
    <row r="651" spans="1:20" ht="12.75">
      <c r="A651" s="234"/>
      <c r="B651" s="214"/>
      <c r="C651" s="70"/>
      <c r="D651" s="70"/>
      <c r="E651" s="145"/>
      <c r="F651" s="8"/>
      <c r="G651" s="47" t="s">
        <v>11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59"/>
      <c r="S651" s="217"/>
      <c r="T651" s="11"/>
    </row>
    <row r="652" spans="1:20" ht="12.75">
      <c r="A652" s="234"/>
      <c r="B652" s="214"/>
      <c r="C652" s="70"/>
      <c r="D652" s="70"/>
      <c r="E652" s="145"/>
      <c r="F652" s="8"/>
      <c r="G652" s="47" t="s">
        <v>12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59"/>
      <c r="S652" s="217"/>
      <c r="T652" s="11"/>
    </row>
    <row r="653" spans="1:20" ht="12.75">
      <c r="A653" s="234"/>
      <c r="B653" s="214"/>
      <c r="C653" s="70"/>
      <c r="D653" s="70"/>
      <c r="E653" s="145"/>
      <c r="F653" s="8"/>
      <c r="G653" s="47" t="s">
        <v>14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59"/>
      <c r="S653" s="217"/>
      <c r="T653" s="11"/>
    </row>
    <row r="654" spans="1:20" ht="12.75">
      <c r="A654" s="234"/>
      <c r="B654" s="214"/>
      <c r="C654" s="70"/>
      <c r="D654" s="70"/>
      <c r="E654" s="145"/>
      <c r="F654" s="8"/>
      <c r="G654" s="47" t="s">
        <v>15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59"/>
      <c r="S654" s="217"/>
      <c r="T654" s="11"/>
    </row>
    <row r="655" spans="1:20" ht="12.75">
      <c r="A655" s="234"/>
      <c r="B655" s="214"/>
      <c r="C655" s="70"/>
      <c r="D655" s="70"/>
      <c r="E655" s="145"/>
      <c r="F655" s="8"/>
      <c r="G655" s="8" t="s">
        <v>61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59"/>
      <c r="S655" s="217"/>
      <c r="T655" s="11"/>
    </row>
    <row r="656" spans="1:20" ht="12.75">
      <c r="A656" s="234"/>
      <c r="B656" s="214"/>
      <c r="C656" s="100" t="s">
        <v>163</v>
      </c>
      <c r="D656" s="100" t="s">
        <v>164</v>
      </c>
      <c r="E656" s="145"/>
      <c r="F656" s="8"/>
      <c r="G656" s="47" t="s">
        <v>110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59"/>
      <c r="S656" s="217"/>
      <c r="T656" s="11"/>
    </row>
    <row r="657" spans="1:20" ht="12.75">
      <c r="A657" s="234"/>
      <c r="B657" s="214"/>
      <c r="C657" s="70"/>
      <c r="D657" s="70"/>
      <c r="E657" s="145"/>
      <c r="F657" s="8"/>
      <c r="G657" s="47" t="s">
        <v>111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0</v>
      </c>
      <c r="R657" s="159"/>
      <c r="S657" s="217"/>
      <c r="T657" s="11"/>
    </row>
    <row r="658" spans="1:20" ht="12.75">
      <c r="A658" s="234"/>
      <c r="B658" s="214"/>
      <c r="C658" s="70"/>
      <c r="D658" s="70"/>
      <c r="E658" s="145"/>
      <c r="F658" s="8"/>
      <c r="G658" s="47" t="s">
        <v>112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59"/>
      <c r="S658" s="217"/>
      <c r="T658" s="11"/>
    </row>
    <row r="659" spans="1:20" ht="12.75">
      <c r="A659" s="234"/>
      <c r="B659" s="214"/>
      <c r="C659" s="70"/>
      <c r="D659" s="70"/>
      <c r="E659" s="145"/>
      <c r="F659" s="8"/>
      <c r="G659" s="8" t="s">
        <v>113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59"/>
      <c r="S659" s="217"/>
      <c r="T659" s="11"/>
    </row>
    <row r="660" spans="1:20" ht="12.75">
      <c r="A660" s="234"/>
      <c r="B660" s="214"/>
      <c r="C660" s="71"/>
      <c r="D660" s="71"/>
      <c r="E660" s="146"/>
      <c r="F660" s="8"/>
      <c r="G660" s="47" t="s">
        <v>72</v>
      </c>
      <c r="H660" s="13">
        <f>J660</f>
        <v>7.2</v>
      </c>
      <c r="I660" s="13">
        <v>0</v>
      </c>
      <c r="J660" s="13">
        <v>7.2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59"/>
      <c r="S660" s="217"/>
      <c r="T660" s="11"/>
    </row>
    <row r="661" spans="1:20" ht="12.75">
      <c r="A661" s="163">
        <v>52</v>
      </c>
      <c r="B661" s="214" t="s">
        <v>144</v>
      </c>
      <c r="C661" s="69"/>
      <c r="D661" s="69"/>
      <c r="E661" s="144"/>
      <c r="F661" s="8"/>
      <c r="G661" s="46" t="s">
        <v>9</v>
      </c>
      <c r="H661" s="13">
        <f>SUM(H662:H672)</f>
        <v>7.2</v>
      </c>
      <c r="I661" s="13">
        <f aca="true" t="shared" si="194" ref="I661:Q661">SUM(I662:I672)</f>
        <v>0</v>
      </c>
      <c r="J661" s="13">
        <f t="shared" si="194"/>
        <v>7.2</v>
      </c>
      <c r="K661" s="13">
        <f t="shared" si="194"/>
        <v>0</v>
      </c>
      <c r="L661" s="13">
        <f t="shared" si="194"/>
        <v>0</v>
      </c>
      <c r="M661" s="13">
        <f t="shared" si="194"/>
        <v>0</v>
      </c>
      <c r="N661" s="13">
        <f t="shared" si="194"/>
        <v>0</v>
      </c>
      <c r="O661" s="13">
        <f t="shared" si="194"/>
        <v>0</v>
      </c>
      <c r="P661" s="13">
        <f t="shared" si="194"/>
        <v>0</v>
      </c>
      <c r="Q661" s="13">
        <f t="shared" si="194"/>
        <v>0</v>
      </c>
      <c r="R661" s="157" t="s">
        <v>149</v>
      </c>
      <c r="S661" s="216"/>
      <c r="T661" s="11"/>
    </row>
    <row r="662" spans="1:20" ht="12.75">
      <c r="A662" s="164"/>
      <c r="B662" s="214"/>
      <c r="C662" s="70"/>
      <c r="D662" s="70"/>
      <c r="E662" s="145"/>
      <c r="F662" s="8"/>
      <c r="G662" s="47" t="s">
        <v>13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59"/>
      <c r="S662" s="217"/>
      <c r="T662" s="11"/>
    </row>
    <row r="663" spans="1:20" ht="12.75">
      <c r="A663" s="164"/>
      <c r="B663" s="214"/>
      <c r="C663" s="70"/>
      <c r="D663" s="70"/>
      <c r="E663" s="145"/>
      <c r="F663" s="8"/>
      <c r="G663" s="47" t="s">
        <v>11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59"/>
      <c r="S663" s="217"/>
      <c r="T663" s="11"/>
    </row>
    <row r="664" spans="1:20" ht="12.75">
      <c r="A664" s="164"/>
      <c r="B664" s="214"/>
      <c r="C664" s="70"/>
      <c r="D664" s="70"/>
      <c r="E664" s="145"/>
      <c r="F664" s="8"/>
      <c r="G664" s="47" t="s">
        <v>12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59"/>
      <c r="S664" s="217"/>
      <c r="T664" s="11"/>
    </row>
    <row r="665" spans="1:20" ht="12.75">
      <c r="A665" s="164"/>
      <c r="B665" s="214"/>
      <c r="C665" s="70"/>
      <c r="D665" s="70"/>
      <c r="E665" s="145"/>
      <c r="F665" s="8"/>
      <c r="G665" s="47" t="s">
        <v>14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59"/>
      <c r="S665" s="217"/>
      <c r="T665" s="11"/>
    </row>
    <row r="666" spans="1:20" ht="12.75">
      <c r="A666" s="164"/>
      <c r="B666" s="214"/>
      <c r="C666" s="70"/>
      <c r="D666" s="70"/>
      <c r="E666" s="145"/>
      <c r="F666" s="8"/>
      <c r="G666" s="47" t="s">
        <v>15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0</v>
      </c>
      <c r="R666" s="159"/>
      <c r="S666" s="217"/>
      <c r="T666" s="11"/>
    </row>
    <row r="667" spans="1:20" ht="12.75">
      <c r="A667" s="164"/>
      <c r="B667" s="214"/>
      <c r="C667" s="70"/>
      <c r="D667" s="70"/>
      <c r="E667" s="145"/>
      <c r="F667" s="8"/>
      <c r="G667" s="8" t="s">
        <v>61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59"/>
      <c r="S667" s="217"/>
      <c r="T667" s="11"/>
    </row>
    <row r="668" spans="1:20" ht="12.75">
      <c r="A668" s="164"/>
      <c r="B668" s="214"/>
      <c r="C668" s="100" t="s">
        <v>163</v>
      </c>
      <c r="D668" s="100" t="s">
        <v>164</v>
      </c>
      <c r="E668" s="145"/>
      <c r="F668" s="8"/>
      <c r="G668" s="47" t="s">
        <v>110</v>
      </c>
      <c r="H668" s="13">
        <f>J668</f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59"/>
      <c r="S668" s="217"/>
      <c r="T668" s="11"/>
    </row>
    <row r="669" spans="1:20" ht="12.75">
      <c r="A669" s="164"/>
      <c r="B669" s="214"/>
      <c r="C669" s="70"/>
      <c r="D669" s="70"/>
      <c r="E669" s="145"/>
      <c r="F669" s="8"/>
      <c r="G669" s="47" t="s">
        <v>111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59"/>
      <c r="S669" s="217"/>
      <c r="T669" s="11"/>
    </row>
    <row r="670" spans="1:20" ht="12.75">
      <c r="A670" s="164"/>
      <c r="B670" s="214"/>
      <c r="C670" s="70"/>
      <c r="D670" s="70"/>
      <c r="E670" s="145"/>
      <c r="F670" s="8"/>
      <c r="G670" s="47" t="s">
        <v>112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59"/>
      <c r="S670" s="217"/>
      <c r="T670" s="11"/>
    </row>
    <row r="671" spans="1:20" ht="12.75">
      <c r="A671" s="164"/>
      <c r="B671" s="214"/>
      <c r="C671" s="70"/>
      <c r="D671" s="70"/>
      <c r="E671" s="145"/>
      <c r="F671" s="8"/>
      <c r="G671" s="8" t="s">
        <v>113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59"/>
      <c r="S671" s="217"/>
      <c r="T671" s="11"/>
    </row>
    <row r="672" spans="1:20" ht="12.75">
      <c r="A672" s="165"/>
      <c r="B672" s="214"/>
      <c r="C672" s="71"/>
      <c r="D672" s="71"/>
      <c r="E672" s="146"/>
      <c r="F672" s="8"/>
      <c r="G672" s="47" t="s">
        <v>72</v>
      </c>
      <c r="H672" s="13">
        <f>J672</f>
        <v>7.2</v>
      </c>
      <c r="I672" s="13">
        <v>0</v>
      </c>
      <c r="J672" s="13">
        <f>7.2</f>
        <v>7.2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59"/>
      <c r="S672" s="217"/>
      <c r="T672" s="11"/>
    </row>
    <row r="673" spans="1:20" ht="12.75">
      <c r="A673" s="163">
        <v>53</v>
      </c>
      <c r="B673" s="144" t="s">
        <v>138</v>
      </c>
      <c r="C673" s="69"/>
      <c r="D673" s="69"/>
      <c r="E673" s="144"/>
      <c r="F673" s="8"/>
      <c r="G673" s="46" t="s">
        <v>9</v>
      </c>
      <c r="H673" s="13">
        <f>SUM(H674:H684)</f>
        <v>7.2</v>
      </c>
      <c r="I673" s="13">
        <f aca="true" t="shared" si="195" ref="I673:Q673">SUM(I674:I684)</f>
        <v>0</v>
      </c>
      <c r="J673" s="13">
        <f t="shared" si="195"/>
        <v>7.2</v>
      </c>
      <c r="K673" s="13">
        <f t="shared" si="195"/>
        <v>0</v>
      </c>
      <c r="L673" s="13">
        <f t="shared" si="195"/>
        <v>0</v>
      </c>
      <c r="M673" s="13">
        <f t="shared" si="195"/>
        <v>0</v>
      </c>
      <c r="N673" s="13">
        <f t="shared" si="195"/>
        <v>0</v>
      </c>
      <c r="O673" s="13">
        <f t="shared" si="195"/>
        <v>0</v>
      </c>
      <c r="P673" s="13">
        <f t="shared" si="195"/>
        <v>0</v>
      </c>
      <c r="Q673" s="13">
        <f t="shared" si="195"/>
        <v>0</v>
      </c>
      <c r="R673" s="157" t="s">
        <v>149</v>
      </c>
      <c r="S673" s="216"/>
      <c r="T673" s="11"/>
    </row>
    <row r="674" spans="1:20" ht="12.75">
      <c r="A674" s="164"/>
      <c r="B674" s="145"/>
      <c r="C674" s="70"/>
      <c r="D674" s="70"/>
      <c r="E674" s="145"/>
      <c r="F674" s="8"/>
      <c r="G674" s="47" t="s">
        <v>13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59"/>
      <c r="S674" s="217"/>
      <c r="T674" s="11"/>
    </row>
    <row r="675" spans="1:20" ht="12.75">
      <c r="A675" s="164"/>
      <c r="B675" s="145"/>
      <c r="C675" s="70"/>
      <c r="D675" s="70"/>
      <c r="E675" s="145"/>
      <c r="F675" s="8"/>
      <c r="G675" s="47" t="s">
        <v>11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59"/>
      <c r="S675" s="217"/>
      <c r="T675" s="11"/>
    </row>
    <row r="676" spans="1:20" ht="12.75">
      <c r="A676" s="164"/>
      <c r="B676" s="145"/>
      <c r="C676" s="70"/>
      <c r="D676" s="70"/>
      <c r="E676" s="145"/>
      <c r="F676" s="8"/>
      <c r="G676" s="47" t="s">
        <v>12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59"/>
      <c r="S676" s="217"/>
      <c r="T676" s="11"/>
    </row>
    <row r="677" spans="1:20" ht="12.75">
      <c r="A677" s="164"/>
      <c r="B677" s="145"/>
      <c r="C677" s="70"/>
      <c r="D677" s="70"/>
      <c r="E677" s="145"/>
      <c r="F677" s="8"/>
      <c r="G677" s="47" t="s">
        <v>14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59"/>
      <c r="S677" s="217"/>
      <c r="T677" s="11"/>
    </row>
    <row r="678" spans="1:20" ht="12.75">
      <c r="A678" s="164"/>
      <c r="B678" s="145"/>
      <c r="C678" s="70"/>
      <c r="D678" s="70"/>
      <c r="E678" s="145"/>
      <c r="F678" s="8"/>
      <c r="G678" s="47" t="s">
        <v>15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59"/>
      <c r="S678" s="217"/>
      <c r="T678" s="11"/>
    </row>
    <row r="679" spans="1:20" ht="12.75">
      <c r="A679" s="164"/>
      <c r="B679" s="145"/>
      <c r="C679" s="70"/>
      <c r="D679" s="70"/>
      <c r="E679" s="145"/>
      <c r="F679" s="8"/>
      <c r="G679" s="8" t="s">
        <v>61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59"/>
      <c r="S679" s="217"/>
      <c r="T679" s="11"/>
    </row>
    <row r="680" spans="1:20" ht="12.75">
      <c r="A680" s="164"/>
      <c r="B680" s="145"/>
      <c r="C680" s="100" t="s">
        <v>163</v>
      </c>
      <c r="D680" s="100" t="s">
        <v>164</v>
      </c>
      <c r="E680" s="145"/>
      <c r="F680" s="8"/>
      <c r="G680" s="47" t="s">
        <v>110</v>
      </c>
      <c r="H680" s="13">
        <f>J680</f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59"/>
      <c r="S680" s="217"/>
      <c r="T680" s="11"/>
    </row>
    <row r="681" spans="1:20" ht="12.75">
      <c r="A681" s="164"/>
      <c r="B681" s="145"/>
      <c r="C681" s="70"/>
      <c r="D681" s="70"/>
      <c r="E681" s="145"/>
      <c r="F681" s="8"/>
      <c r="G681" s="47" t="s">
        <v>111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59"/>
      <c r="S681" s="217"/>
      <c r="T681" s="11"/>
    </row>
    <row r="682" spans="1:20" ht="12.75">
      <c r="A682" s="164"/>
      <c r="B682" s="145"/>
      <c r="C682" s="70"/>
      <c r="D682" s="70"/>
      <c r="E682" s="145"/>
      <c r="F682" s="8"/>
      <c r="G682" s="47" t="s">
        <v>112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59"/>
      <c r="S682" s="217"/>
      <c r="T682" s="11"/>
    </row>
    <row r="683" spans="1:20" ht="12.75">
      <c r="A683" s="164"/>
      <c r="B683" s="145"/>
      <c r="C683" s="70"/>
      <c r="D683" s="70"/>
      <c r="E683" s="145"/>
      <c r="F683" s="8"/>
      <c r="G683" s="8" t="s">
        <v>113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59"/>
      <c r="S683" s="217"/>
      <c r="T683" s="11"/>
    </row>
    <row r="684" spans="1:20" ht="12.75">
      <c r="A684" s="165"/>
      <c r="B684" s="146"/>
      <c r="C684" s="71"/>
      <c r="D684" s="71"/>
      <c r="E684" s="146"/>
      <c r="F684" s="8"/>
      <c r="G684" s="47" t="s">
        <v>72</v>
      </c>
      <c r="H684" s="13">
        <f>J684</f>
        <v>7.2</v>
      </c>
      <c r="I684" s="13">
        <v>0</v>
      </c>
      <c r="J684" s="13">
        <v>7.2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59"/>
      <c r="S684" s="217"/>
      <c r="T684" s="11"/>
    </row>
    <row r="685" spans="1:20" ht="12.75">
      <c r="A685" s="163">
        <v>54</v>
      </c>
      <c r="B685" s="144" t="s">
        <v>139</v>
      </c>
      <c r="C685" s="69"/>
      <c r="D685" s="69"/>
      <c r="E685" s="144"/>
      <c r="F685" s="8"/>
      <c r="G685" s="46" t="s">
        <v>9</v>
      </c>
      <c r="H685" s="13">
        <f>SUM(H686:H696)</f>
        <v>150</v>
      </c>
      <c r="I685" s="13">
        <f aca="true" t="shared" si="196" ref="I685:Q685">SUM(I686:I696)</f>
        <v>0</v>
      </c>
      <c r="J685" s="13">
        <f t="shared" si="196"/>
        <v>150</v>
      </c>
      <c r="K685" s="13">
        <f t="shared" si="196"/>
        <v>0</v>
      </c>
      <c r="L685" s="13">
        <f t="shared" si="196"/>
        <v>0</v>
      </c>
      <c r="M685" s="13">
        <f t="shared" si="196"/>
        <v>0</v>
      </c>
      <c r="N685" s="13">
        <f t="shared" si="196"/>
        <v>0</v>
      </c>
      <c r="O685" s="13">
        <f t="shared" si="196"/>
        <v>0</v>
      </c>
      <c r="P685" s="13">
        <f t="shared" si="196"/>
        <v>0</v>
      </c>
      <c r="Q685" s="13">
        <f t="shared" si="196"/>
        <v>0</v>
      </c>
      <c r="R685" s="157" t="s">
        <v>149</v>
      </c>
      <c r="S685" s="216"/>
      <c r="T685" s="11"/>
    </row>
    <row r="686" spans="1:20" ht="12.75">
      <c r="A686" s="164"/>
      <c r="B686" s="145"/>
      <c r="C686" s="70"/>
      <c r="D686" s="70"/>
      <c r="E686" s="145"/>
      <c r="F686" s="8"/>
      <c r="G686" s="47" t="s">
        <v>13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59"/>
      <c r="S686" s="217"/>
      <c r="T686" s="11"/>
    </row>
    <row r="687" spans="1:20" ht="12.75">
      <c r="A687" s="164"/>
      <c r="B687" s="145"/>
      <c r="C687" s="70"/>
      <c r="D687" s="70"/>
      <c r="E687" s="145"/>
      <c r="F687" s="8"/>
      <c r="G687" s="47" t="s">
        <v>11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59"/>
      <c r="S687" s="217"/>
      <c r="T687" s="11"/>
    </row>
    <row r="688" spans="1:20" ht="12.75">
      <c r="A688" s="164"/>
      <c r="B688" s="145"/>
      <c r="C688" s="70"/>
      <c r="D688" s="70"/>
      <c r="E688" s="145"/>
      <c r="F688" s="8"/>
      <c r="G688" s="47" t="s">
        <v>12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59"/>
      <c r="S688" s="217"/>
      <c r="T688" s="11"/>
    </row>
    <row r="689" spans="1:20" ht="12.75">
      <c r="A689" s="164"/>
      <c r="B689" s="145"/>
      <c r="C689" s="70"/>
      <c r="D689" s="70"/>
      <c r="E689" s="145"/>
      <c r="F689" s="8"/>
      <c r="G689" s="47" t="s">
        <v>14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59"/>
      <c r="S689" s="217"/>
      <c r="T689" s="11"/>
    </row>
    <row r="690" spans="1:20" ht="12.75">
      <c r="A690" s="164"/>
      <c r="B690" s="145"/>
      <c r="C690" s="70"/>
      <c r="D690" s="70"/>
      <c r="E690" s="145"/>
      <c r="F690" s="8"/>
      <c r="G690" s="47" t="s">
        <v>15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59"/>
      <c r="S690" s="217"/>
      <c r="T690" s="11"/>
    </row>
    <row r="691" spans="1:20" ht="12.75">
      <c r="A691" s="164"/>
      <c r="B691" s="145"/>
      <c r="C691" s="70"/>
      <c r="D691" s="70"/>
      <c r="E691" s="145"/>
      <c r="F691" s="8"/>
      <c r="G691" s="8" t="s">
        <v>61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59"/>
      <c r="S691" s="217"/>
      <c r="T691" s="11"/>
    </row>
    <row r="692" spans="1:20" ht="12.75">
      <c r="A692" s="164"/>
      <c r="B692" s="145"/>
      <c r="C692" s="70"/>
      <c r="D692" s="70"/>
      <c r="E692" s="145"/>
      <c r="F692" s="8"/>
      <c r="G692" s="47" t="s">
        <v>110</v>
      </c>
      <c r="H692" s="13">
        <f>J692</f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59"/>
      <c r="S692" s="217"/>
      <c r="T692" s="11"/>
    </row>
    <row r="693" spans="1:20" ht="12.75">
      <c r="A693" s="164"/>
      <c r="B693" s="145"/>
      <c r="C693" s="100" t="s">
        <v>163</v>
      </c>
      <c r="D693" s="100" t="s">
        <v>164</v>
      </c>
      <c r="E693" s="145"/>
      <c r="F693" s="8"/>
      <c r="G693" s="47" t="s">
        <v>111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59"/>
      <c r="S693" s="217"/>
      <c r="T693" s="11"/>
    </row>
    <row r="694" spans="1:20" ht="12.75">
      <c r="A694" s="164"/>
      <c r="B694" s="145"/>
      <c r="C694" s="70"/>
      <c r="D694" s="70"/>
      <c r="E694" s="145"/>
      <c r="F694" s="8"/>
      <c r="G694" s="47" t="s">
        <v>112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59"/>
      <c r="S694" s="217"/>
      <c r="T694" s="11"/>
    </row>
    <row r="695" spans="1:20" ht="12.75">
      <c r="A695" s="164"/>
      <c r="B695" s="145"/>
      <c r="C695" s="70"/>
      <c r="D695" s="70"/>
      <c r="E695" s="145"/>
      <c r="F695" s="8"/>
      <c r="G695" s="8" t="s">
        <v>113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59"/>
      <c r="S695" s="217"/>
      <c r="T695" s="11"/>
    </row>
    <row r="696" spans="1:20" ht="12.75">
      <c r="A696" s="165"/>
      <c r="B696" s="146"/>
      <c r="C696" s="71"/>
      <c r="D696" s="71"/>
      <c r="E696" s="146"/>
      <c r="F696" s="8"/>
      <c r="G696" s="47" t="s">
        <v>72</v>
      </c>
      <c r="H696" s="13">
        <f>J696</f>
        <v>150</v>
      </c>
      <c r="I696" s="13">
        <v>0</v>
      </c>
      <c r="J696" s="13">
        <v>150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59"/>
      <c r="S696" s="217"/>
      <c r="T696" s="11"/>
    </row>
    <row r="697" spans="1:20" ht="12.75">
      <c r="A697" s="163">
        <v>55</v>
      </c>
      <c r="B697" s="219" t="s">
        <v>140</v>
      </c>
      <c r="C697" s="114"/>
      <c r="D697" s="114"/>
      <c r="E697" s="57"/>
      <c r="F697" s="8"/>
      <c r="G697" s="46" t="s">
        <v>9</v>
      </c>
      <c r="H697" s="13">
        <f>SUM(H698:H708)</f>
        <v>80.67</v>
      </c>
      <c r="I697" s="13">
        <f aca="true" t="shared" si="197" ref="I697:Q697">SUM(I698:I708)</f>
        <v>80.67</v>
      </c>
      <c r="J697" s="13">
        <f t="shared" si="197"/>
        <v>80.67</v>
      </c>
      <c r="K697" s="13">
        <f t="shared" si="197"/>
        <v>80.67</v>
      </c>
      <c r="L697" s="13">
        <f t="shared" si="197"/>
        <v>0</v>
      </c>
      <c r="M697" s="13">
        <f t="shared" si="197"/>
        <v>0</v>
      </c>
      <c r="N697" s="13">
        <f t="shared" si="197"/>
        <v>0</v>
      </c>
      <c r="O697" s="13">
        <f t="shared" si="197"/>
        <v>0</v>
      </c>
      <c r="P697" s="13">
        <f t="shared" si="197"/>
        <v>0</v>
      </c>
      <c r="Q697" s="13">
        <f t="shared" si="197"/>
        <v>0</v>
      </c>
      <c r="R697" s="222" t="s">
        <v>149</v>
      </c>
      <c r="S697" s="242"/>
      <c r="T697" s="11"/>
    </row>
    <row r="698" spans="1:20" ht="12.75">
      <c r="A698" s="164"/>
      <c r="B698" s="220"/>
      <c r="C698" s="113"/>
      <c r="D698" s="113"/>
      <c r="E698" s="57"/>
      <c r="F698" s="8"/>
      <c r="G698" s="47" t="s">
        <v>13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224"/>
      <c r="S698" s="243"/>
      <c r="T698" s="11"/>
    </row>
    <row r="699" spans="1:20" ht="12.75">
      <c r="A699" s="164"/>
      <c r="B699" s="220"/>
      <c r="C699" s="113"/>
      <c r="D699" s="113"/>
      <c r="E699" s="57"/>
      <c r="F699" s="8"/>
      <c r="G699" s="47" t="s">
        <v>11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224"/>
      <c r="S699" s="243"/>
      <c r="T699" s="11"/>
    </row>
    <row r="700" spans="1:20" ht="12.75">
      <c r="A700" s="164"/>
      <c r="B700" s="220"/>
      <c r="C700" s="113"/>
      <c r="D700" s="113"/>
      <c r="E700" s="57"/>
      <c r="F700" s="8"/>
      <c r="G700" s="47" t="s">
        <v>12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224"/>
      <c r="S700" s="243"/>
      <c r="T700" s="11"/>
    </row>
    <row r="701" spans="1:20" ht="12.75">
      <c r="A701" s="164"/>
      <c r="B701" s="220"/>
      <c r="C701" s="113"/>
      <c r="D701" s="113"/>
      <c r="E701" s="57"/>
      <c r="F701" s="8"/>
      <c r="G701" s="47" t="s">
        <v>14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224"/>
      <c r="S701" s="243"/>
      <c r="T701" s="11"/>
    </row>
    <row r="702" spans="1:20" ht="12.75">
      <c r="A702" s="164"/>
      <c r="B702" s="220"/>
      <c r="C702" s="113"/>
      <c r="D702" s="113"/>
      <c r="E702" s="57"/>
      <c r="F702" s="8"/>
      <c r="G702" s="47" t="s">
        <v>15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224"/>
      <c r="S702" s="243"/>
      <c r="T702" s="11"/>
    </row>
    <row r="703" spans="1:20" ht="12.75">
      <c r="A703" s="164"/>
      <c r="B703" s="220"/>
      <c r="C703" s="113"/>
      <c r="D703" s="113"/>
      <c r="E703" s="57"/>
      <c r="F703" s="8"/>
      <c r="G703" s="8" t="s">
        <v>61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224"/>
      <c r="S703" s="243"/>
      <c r="T703" s="11"/>
    </row>
    <row r="704" spans="1:20" ht="12.75">
      <c r="A704" s="164"/>
      <c r="B704" s="220"/>
      <c r="C704" s="113"/>
      <c r="D704" s="113"/>
      <c r="E704" s="57"/>
      <c r="F704" s="8"/>
      <c r="G704" s="137" t="s">
        <v>110</v>
      </c>
      <c r="H704" s="119">
        <f>J704</f>
        <v>80.67</v>
      </c>
      <c r="I704" s="119">
        <f>K704</f>
        <v>80.67</v>
      </c>
      <c r="J704" s="119">
        <f>K704</f>
        <v>80.67</v>
      </c>
      <c r="K704" s="119">
        <v>80.67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224"/>
      <c r="S704" s="243"/>
      <c r="T704" s="11"/>
    </row>
    <row r="705" spans="1:20" ht="12.75">
      <c r="A705" s="164"/>
      <c r="B705" s="220"/>
      <c r="C705" s="113" t="s">
        <v>163</v>
      </c>
      <c r="D705" s="113" t="s">
        <v>164</v>
      </c>
      <c r="E705" s="104" t="s">
        <v>169</v>
      </c>
      <c r="F705" s="8"/>
      <c r="G705" s="47" t="s">
        <v>111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224"/>
      <c r="S705" s="243"/>
      <c r="T705" s="11"/>
    </row>
    <row r="706" spans="1:20" ht="12.75">
      <c r="A706" s="164"/>
      <c r="B706" s="220"/>
      <c r="C706" s="113"/>
      <c r="D706" s="113"/>
      <c r="E706" s="57"/>
      <c r="F706" s="8"/>
      <c r="G706" s="47" t="s">
        <v>112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224"/>
      <c r="S706" s="243"/>
      <c r="T706" s="11"/>
    </row>
    <row r="707" spans="1:20" ht="12.75">
      <c r="A707" s="164"/>
      <c r="B707" s="220"/>
      <c r="C707" s="113"/>
      <c r="D707" s="113"/>
      <c r="E707" s="57"/>
      <c r="F707" s="8"/>
      <c r="G707" s="8" t="s">
        <v>113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224"/>
      <c r="S707" s="243"/>
      <c r="T707" s="11"/>
    </row>
    <row r="708" spans="1:20" ht="12.75">
      <c r="A708" s="165"/>
      <c r="B708" s="221"/>
      <c r="C708" s="115"/>
      <c r="D708" s="115"/>
      <c r="E708" s="57"/>
      <c r="F708" s="8"/>
      <c r="G708" s="47" t="s">
        <v>72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224"/>
      <c r="S708" s="243"/>
      <c r="T708" s="11"/>
    </row>
    <row r="709" spans="1:20" ht="12.75">
      <c r="A709" s="163">
        <v>56</v>
      </c>
      <c r="B709" s="219" t="s">
        <v>142</v>
      </c>
      <c r="C709" s="114"/>
      <c r="D709" s="114"/>
      <c r="E709" s="57"/>
      <c r="F709" s="8"/>
      <c r="G709" s="46" t="s">
        <v>9</v>
      </c>
      <c r="H709" s="13">
        <f>SUM(H710:H720)</f>
        <v>734.712</v>
      </c>
      <c r="I709" s="13">
        <f aca="true" t="shared" si="198" ref="I709:Q709">SUM(I710:I720)</f>
        <v>132.012</v>
      </c>
      <c r="J709" s="13">
        <f t="shared" si="198"/>
        <v>734.712</v>
      </c>
      <c r="K709" s="13">
        <f t="shared" si="198"/>
        <v>132.012</v>
      </c>
      <c r="L709" s="13">
        <f t="shared" si="198"/>
        <v>0</v>
      </c>
      <c r="M709" s="13">
        <f t="shared" si="198"/>
        <v>0</v>
      </c>
      <c r="N709" s="13">
        <f t="shared" si="198"/>
        <v>0</v>
      </c>
      <c r="O709" s="13">
        <f t="shared" si="198"/>
        <v>0</v>
      </c>
      <c r="P709" s="13">
        <f t="shared" si="198"/>
        <v>0</v>
      </c>
      <c r="Q709" s="13">
        <f t="shared" si="198"/>
        <v>0</v>
      </c>
      <c r="R709" s="222" t="s">
        <v>149</v>
      </c>
      <c r="S709" s="242"/>
      <c r="T709" s="11"/>
    </row>
    <row r="710" spans="1:20" ht="12.75">
      <c r="A710" s="164"/>
      <c r="B710" s="220"/>
      <c r="C710" s="113"/>
      <c r="D710" s="113"/>
      <c r="E710" s="57"/>
      <c r="F710" s="8"/>
      <c r="G710" s="47" t="s">
        <v>13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224"/>
      <c r="S710" s="243"/>
      <c r="T710" s="11"/>
    </row>
    <row r="711" spans="1:20" ht="12.75">
      <c r="A711" s="164"/>
      <c r="B711" s="220"/>
      <c r="C711" s="113"/>
      <c r="D711" s="113"/>
      <c r="E711" s="57"/>
      <c r="F711" s="8"/>
      <c r="G711" s="47" t="s">
        <v>11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224"/>
      <c r="S711" s="243"/>
      <c r="T711" s="11"/>
    </row>
    <row r="712" spans="1:20" ht="12.75">
      <c r="A712" s="164"/>
      <c r="B712" s="220"/>
      <c r="C712" s="113"/>
      <c r="D712" s="113"/>
      <c r="E712" s="57"/>
      <c r="F712" s="8"/>
      <c r="G712" s="47" t="s">
        <v>12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224"/>
      <c r="S712" s="243"/>
      <c r="T712" s="11"/>
    </row>
    <row r="713" spans="1:20" ht="12.75">
      <c r="A713" s="164"/>
      <c r="B713" s="220"/>
      <c r="C713" s="113"/>
      <c r="D713" s="113"/>
      <c r="E713" s="57"/>
      <c r="F713" s="8"/>
      <c r="G713" s="47" t="s">
        <v>14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224"/>
      <c r="S713" s="243"/>
      <c r="T713" s="11"/>
    </row>
    <row r="714" spans="1:21" ht="12.75">
      <c r="A714" s="164"/>
      <c r="B714" s="220"/>
      <c r="C714" s="113"/>
      <c r="D714" s="113"/>
      <c r="E714" s="57"/>
      <c r="F714" s="8"/>
      <c r="G714" s="47" t="s">
        <v>15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224"/>
      <c r="S714" s="243"/>
      <c r="T714" s="11"/>
      <c r="U714" s="11"/>
    </row>
    <row r="715" spans="1:20" ht="12.75">
      <c r="A715" s="164"/>
      <c r="B715" s="220"/>
      <c r="C715" s="113"/>
      <c r="D715" s="113"/>
      <c r="E715" s="57"/>
      <c r="F715" s="8"/>
      <c r="G715" s="8" t="s">
        <v>61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224"/>
      <c r="S715" s="243"/>
      <c r="T715" s="11"/>
    </row>
    <row r="716" spans="1:20" ht="12.75">
      <c r="A716" s="164"/>
      <c r="B716" s="220"/>
      <c r="C716" s="113"/>
      <c r="D716" s="113"/>
      <c r="E716" s="57"/>
      <c r="F716" s="8"/>
      <c r="G716" s="137" t="s">
        <v>110</v>
      </c>
      <c r="H716" s="119">
        <v>132.012</v>
      </c>
      <c r="I716" s="119">
        <v>132.012</v>
      </c>
      <c r="J716" s="119">
        <v>132.012</v>
      </c>
      <c r="K716" s="119">
        <v>132.012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224"/>
      <c r="S716" s="243"/>
      <c r="T716" s="11"/>
    </row>
    <row r="717" spans="1:20" ht="12.75">
      <c r="A717" s="164"/>
      <c r="B717" s="220"/>
      <c r="C717" s="113" t="s">
        <v>163</v>
      </c>
      <c r="D717" s="113" t="s">
        <v>164</v>
      </c>
      <c r="E717" s="102" t="s">
        <v>169</v>
      </c>
      <c r="F717" s="8"/>
      <c r="G717" s="122" t="s">
        <v>111</v>
      </c>
      <c r="H717" s="119">
        <f>J717</f>
        <v>200.9</v>
      </c>
      <c r="I717" s="119">
        <v>0</v>
      </c>
      <c r="J717" s="119">
        <v>200.9</v>
      </c>
      <c r="K717" s="119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224"/>
      <c r="S717" s="243"/>
      <c r="T717" s="11"/>
    </row>
    <row r="718" spans="1:20" ht="12.75">
      <c r="A718" s="164"/>
      <c r="B718" s="220"/>
      <c r="C718" s="113"/>
      <c r="D718" s="113"/>
      <c r="E718" s="57"/>
      <c r="F718" s="8"/>
      <c r="G718" s="122" t="s">
        <v>112</v>
      </c>
      <c r="H718" s="119">
        <f>J718</f>
        <v>200.9</v>
      </c>
      <c r="I718" s="119">
        <v>0</v>
      </c>
      <c r="J718" s="119">
        <v>200.9</v>
      </c>
      <c r="K718" s="119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224"/>
      <c r="S718" s="243"/>
      <c r="T718" s="11"/>
    </row>
    <row r="719" spans="1:20" ht="12.75">
      <c r="A719" s="164"/>
      <c r="B719" s="220"/>
      <c r="C719" s="113"/>
      <c r="D719" s="113"/>
      <c r="E719" s="57"/>
      <c r="F719" s="8"/>
      <c r="G719" s="126" t="s">
        <v>113</v>
      </c>
      <c r="H719" s="119">
        <f>J719</f>
        <v>200.9</v>
      </c>
      <c r="I719" s="119">
        <v>0</v>
      </c>
      <c r="J719" s="119">
        <v>200.9</v>
      </c>
      <c r="K719" s="119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224"/>
      <c r="S719" s="243"/>
      <c r="T719" s="11"/>
    </row>
    <row r="720" spans="1:20" ht="12.75">
      <c r="A720" s="165"/>
      <c r="B720" s="221"/>
      <c r="C720" s="115"/>
      <c r="D720" s="115"/>
      <c r="E720" s="57"/>
      <c r="F720" s="8"/>
      <c r="G720" s="47" t="s">
        <v>72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224"/>
      <c r="S720" s="243"/>
      <c r="T720" s="11"/>
    </row>
    <row r="721" spans="1:20" ht="12.75">
      <c r="A721" s="163">
        <v>57</v>
      </c>
      <c r="B721" s="219" t="s">
        <v>141</v>
      </c>
      <c r="C721" s="114"/>
      <c r="D721" s="114"/>
      <c r="E721" s="57"/>
      <c r="F721" s="8"/>
      <c r="G721" s="46" t="s">
        <v>9</v>
      </c>
      <c r="H721" s="13">
        <f>SUM(H722:H732)</f>
        <v>80.7</v>
      </c>
      <c r="I721" s="13">
        <f>SUM(I722:I732)</f>
        <v>0</v>
      </c>
      <c r="J721" s="13">
        <f>SUM(J722:J732)</f>
        <v>80.7</v>
      </c>
      <c r="K721" s="13">
        <f>SUM(K722:K732)</f>
        <v>0</v>
      </c>
      <c r="L721" s="13">
        <f aca="true" t="shared" si="199" ref="L721:Q721">SUM(L722:L732)</f>
        <v>0</v>
      </c>
      <c r="M721" s="13">
        <f t="shared" si="199"/>
        <v>0</v>
      </c>
      <c r="N721" s="13">
        <f t="shared" si="199"/>
        <v>0</v>
      </c>
      <c r="O721" s="13">
        <f t="shared" si="199"/>
        <v>0</v>
      </c>
      <c r="P721" s="13">
        <f t="shared" si="199"/>
        <v>0</v>
      </c>
      <c r="Q721" s="13">
        <f t="shared" si="199"/>
        <v>0</v>
      </c>
      <c r="R721" s="222" t="s">
        <v>149</v>
      </c>
      <c r="S721" s="242"/>
      <c r="T721" s="11"/>
    </row>
    <row r="722" spans="1:20" ht="12.75">
      <c r="A722" s="164"/>
      <c r="B722" s="220"/>
      <c r="C722" s="113"/>
      <c r="D722" s="113"/>
      <c r="E722" s="57"/>
      <c r="F722" s="8"/>
      <c r="G722" s="47" t="s">
        <v>13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224"/>
      <c r="S722" s="243"/>
      <c r="T722" s="11"/>
    </row>
    <row r="723" spans="1:20" ht="12.75">
      <c r="A723" s="164"/>
      <c r="B723" s="220"/>
      <c r="C723" s="113"/>
      <c r="D723" s="113"/>
      <c r="E723" s="57"/>
      <c r="F723" s="8"/>
      <c r="G723" s="47" t="s">
        <v>11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224"/>
      <c r="S723" s="243"/>
      <c r="T723" s="11"/>
    </row>
    <row r="724" spans="1:21" ht="12.75">
      <c r="A724" s="164"/>
      <c r="B724" s="220"/>
      <c r="C724" s="113"/>
      <c r="D724" s="113"/>
      <c r="E724" s="57"/>
      <c r="F724" s="8"/>
      <c r="G724" s="47" t="s">
        <v>12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224"/>
      <c r="S724" s="243"/>
      <c r="T724" s="11"/>
      <c r="U724" s="11"/>
    </row>
    <row r="725" spans="1:20" ht="12.75">
      <c r="A725" s="164"/>
      <c r="B725" s="220"/>
      <c r="C725" s="113"/>
      <c r="D725" s="113"/>
      <c r="E725" s="57"/>
      <c r="F725" s="8"/>
      <c r="G725" s="47" t="s">
        <v>14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224"/>
      <c r="S725" s="243"/>
      <c r="T725" s="11"/>
    </row>
    <row r="726" spans="1:20" ht="12.75">
      <c r="A726" s="164"/>
      <c r="B726" s="220"/>
      <c r="C726" s="113"/>
      <c r="D726" s="113"/>
      <c r="E726" s="57"/>
      <c r="F726" s="8"/>
      <c r="G726" s="47" t="s">
        <v>15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224"/>
      <c r="S726" s="243"/>
      <c r="T726" s="11"/>
    </row>
    <row r="727" spans="1:20" ht="12.75">
      <c r="A727" s="164"/>
      <c r="B727" s="220"/>
      <c r="C727" s="113"/>
      <c r="D727" s="113"/>
      <c r="E727" s="57"/>
      <c r="F727" s="8"/>
      <c r="G727" s="8" t="s">
        <v>61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224"/>
      <c r="S727" s="243"/>
      <c r="T727" s="11"/>
    </row>
    <row r="728" spans="1:20" ht="12.75">
      <c r="A728" s="164"/>
      <c r="B728" s="220"/>
      <c r="C728" s="113"/>
      <c r="D728" s="113"/>
      <c r="E728" s="57"/>
      <c r="F728" s="8"/>
      <c r="G728" s="47" t="s">
        <v>110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224"/>
      <c r="S728" s="243"/>
      <c r="T728" s="11"/>
    </row>
    <row r="729" spans="1:20" ht="12.75">
      <c r="A729" s="164"/>
      <c r="B729" s="220"/>
      <c r="C729" s="113" t="s">
        <v>163</v>
      </c>
      <c r="D729" s="113" t="s">
        <v>164</v>
      </c>
      <c r="E729" s="102" t="s">
        <v>169</v>
      </c>
      <c r="F729" s="8"/>
      <c r="G729" s="47" t="s">
        <v>111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224"/>
      <c r="S729" s="243"/>
      <c r="T729" s="11"/>
    </row>
    <row r="730" spans="1:20" ht="12.75">
      <c r="A730" s="164"/>
      <c r="B730" s="220"/>
      <c r="C730" s="113"/>
      <c r="D730" s="113"/>
      <c r="E730" s="57"/>
      <c r="F730" s="8"/>
      <c r="G730" s="47" t="s">
        <v>112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224"/>
      <c r="S730" s="243"/>
      <c r="T730" s="11"/>
    </row>
    <row r="731" spans="1:20" ht="12.75">
      <c r="A731" s="164"/>
      <c r="B731" s="220"/>
      <c r="C731" s="113"/>
      <c r="D731" s="113"/>
      <c r="E731" s="57"/>
      <c r="F731" s="8"/>
      <c r="G731" s="8" t="s">
        <v>113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224"/>
      <c r="S731" s="243"/>
      <c r="T731" s="11"/>
    </row>
    <row r="732" spans="1:20" ht="12.75">
      <c r="A732" s="165"/>
      <c r="B732" s="221"/>
      <c r="C732" s="115"/>
      <c r="D732" s="115"/>
      <c r="E732" s="57"/>
      <c r="F732" s="8"/>
      <c r="G732" s="122" t="s">
        <v>72</v>
      </c>
      <c r="H732" s="119">
        <f>J732</f>
        <v>80.7</v>
      </c>
      <c r="I732" s="119">
        <v>0</v>
      </c>
      <c r="J732" s="119">
        <v>80.7</v>
      </c>
      <c r="K732" s="119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224"/>
      <c r="S732" s="243"/>
      <c r="T732" s="11"/>
    </row>
    <row r="733" spans="1:20" ht="12.75">
      <c r="A733" s="163">
        <v>58</v>
      </c>
      <c r="B733" s="219" t="s">
        <v>150</v>
      </c>
      <c r="C733" s="114"/>
      <c r="D733" s="114"/>
      <c r="E733" s="57"/>
      <c r="F733" s="8"/>
      <c r="G733" s="46" t="s">
        <v>9</v>
      </c>
      <c r="H733" s="13">
        <f>SUM(H734:H744)</f>
        <v>12151.16</v>
      </c>
      <c r="I733" s="13">
        <f>SUM(I734:I744)</f>
        <v>2804.96</v>
      </c>
      <c r="J733" s="13">
        <f>SUM(J734:J744)</f>
        <v>12151.16</v>
      </c>
      <c r="K733" s="13">
        <f>SUM(K734:K744)</f>
        <v>2804.96</v>
      </c>
      <c r="L733" s="13">
        <f aca="true" t="shared" si="200" ref="L733:Q733">SUM(L734:L744)</f>
        <v>0</v>
      </c>
      <c r="M733" s="13">
        <f t="shared" si="200"/>
        <v>0</v>
      </c>
      <c r="N733" s="13">
        <f t="shared" si="200"/>
        <v>0</v>
      </c>
      <c r="O733" s="13">
        <f t="shared" si="200"/>
        <v>0</v>
      </c>
      <c r="P733" s="13">
        <f t="shared" si="200"/>
        <v>0</v>
      </c>
      <c r="Q733" s="13">
        <f t="shared" si="200"/>
        <v>0</v>
      </c>
      <c r="R733" s="222" t="s">
        <v>149</v>
      </c>
      <c r="S733" s="242"/>
      <c r="T733" s="11"/>
    </row>
    <row r="734" spans="1:20" ht="12.75">
      <c r="A734" s="164"/>
      <c r="B734" s="220"/>
      <c r="C734" s="113"/>
      <c r="D734" s="113"/>
      <c r="E734" s="57"/>
      <c r="F734" s="8"/>
      <c r="G734" s="47" t="s">
        <v>13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224"/>
      <c r="S734" s="243"/>
      <c r="T734" s="11"/>
    </row>
    <row r="735" spans="1:20" ht="12.75">
      <c r="A735" s="164"/>
      <c r="B735" s="220"/>
      <c r="C735" s="113"/>
      <c r="D735" s="113"/>
      <c r="E735" s="57"/>
      <c r="F735" s="8"/>
      <c r="G735" s="47" t="s">
        <v>11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224"/>
      <c r="S735" s="243"/>
      <c r="T735" s="11"/>
    </row>
    <row r="736" spans="1:20" ht="12.75">
      <c r="A736" s="164"/>
      <c r="B736" s="220"/>
      <c r="C736" s="113"/>
      <c r="D736" s="113"/>
      <c r="E736" s="57"/>
      <c r="F736" s="8"/>
      <c r="G736" s="47" t="s">
        <v>12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224"/>
      <c r="S736" s="243"/>
      <c r="T736" s="11"/>
    </row>
    <row r="737" spans="1:20" ht="12.75">
      <c r="A737" s="164"/>
      <c r="B737" s="220"/>
      <c r="C737" s="113"/>
      <c r="D737" s="113"/>
      <c r="E737" s="57"/>
      <c r="F737" s="8"/>
      <c r="G737" s="47" t="s">
        <v>14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224"/>
      <c r="S737" s="243"/>
      <c r="T737" s="11"/>
    </row>
    <row r="738" spans="1:20" ht="12.75">
      <c r="A738" s="164"/>
      <c r="B738" s="220"/>
      <c r="C738" s="113"/>
      <c r="D738" s="113"/>
      <c r="E738" s="57"/>
      <c r="F738" s="8"/>
      <c r="G738" s="47" t="s">
        <v>15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224"/>
      <c r="S738" s="243"/>
      <c r="T738" s="11">
        <f>K740+K716+K704</f>
        <v>3017.6420000000003</v>
      </c>
    </row>
    <row r="739" spans="1:20" ht="12.75">
      <c r="A739" s="164"/>
      <c r="B739" s="220"/>
      <c r="C739" s="113"/>
      <c r="D739" s="113"/>
      <c r="E739" s="57"/>
      <c r="F739" s="8"/>
      <c r="G739" s="8" t="s">
        <v>61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224"/>
      <c r="S739" s="243"/>
      <c r="T739" s="11"/>
    </row>
    <row r="740" spans="1:20" ht="12.75">
      <c r="A740" s="164"/>
      <c r="B740" s="220"/>
      <c r="C740" s="113"/>
      <c r="D740" s="113"/>
      <c r="E740" s="57"/>
      <c r="F740" s="8"/>
      <c r="G740" s="137" t="s">
        <v>110</v>
      </c>
      <c r="H740" s="138">
        <f>J740</f>
        <v>2804.96</v>
      </c>
      <c r="I740" s="138">
        <f>K740</f>
        <v>2804.96</v>
      </c>
      <c r="J740" s="138">
        <f>K740</f>
        <v>2804.96</v>
      </c>
      <c r="K740" s="138">
        <f>2964.86-159.9</f>
        <v>2804.96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224"/>
      <c r="S740" s="243"/>
      <c r="T740" s="11"/>
    </row>
    <row r="741" spans="1:20" ht="12.75">
      <c r="A741" s="164"/>
      <c r="B741" s="220"/>
      <c r="C741" s="113" t="s">
        <v>163</v>
      </c>
      <c r="D741" s="113" t="s">
        <v>164</v>
      </c>
      <c r="E741" s="132" t="s">
        <v>169</v>
      </c>
      <c r="F741" s="8"/>
      <c r="G741" s="122" t="s">
        <v>111</v>
      </c>
      <c r="H741" s="119">
        <f>J741</f>
        <v>3115.4</v>
      </c>
      <c r="I741" s="119">
        <v>0</v>
      </c>
      <c r="J741" s="119">
        <v>3115.4</v>
      </c>
      <c r="K741" s="119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224"/>
      <c r="S741" s="243"/>
      <c r="T741" s="11"/>
    </row>
    <row r="742" spans="1:20" ht="12.75">
      <c r="A742" s="164"/>
      <c r="B742" s="220"/>
      <c r="C742" s="113"/>
      <c r="D742" s="113"/>
      <c r="E742" s="57"/>
      <c r="F742" s="8"/>
      <c r="G742" s="122" t="s">
        <v>112</v>
      </c>
      <c r="H742" s="119">
        <f>J742</f>
        <v>3115.4</v>
      </c>
      <c r="I742" s="119">
        <v>0</v>
      </c>
      <c r="J742" s="119">
        <v>3115.4</v>
      </c>
      <c r="K742" s="119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224"/>
      <c r="S742" s="243"/>
      <c r="T742" s="11"/>
    </row>
    <row r="743" spans="1:20" ht="12.75">
      <c r="A743" s="164"/>
      <c r="B743" s="220"/>
      <c r="C743" s="113"/>
      <c r="D743" s="113"/>
      <c r="E743" s="57"/>
      <c r="F743" s="8"/>
      <c r="G743" s="126" t="s">
        <v>113</v>
      </c>
      <c r="H743" s="119">
        <f>J743</f>
        <v>3115.4</v>
      </c>
      <c r="I743" s="119">
        <v>0</v>
      </c>
      <c r="J743" s="119">
        <v>3115.4</v>
      </c>
      <c r="K743" s="119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224"/>
      <c r="S743" s="243"/>
      <c r="T743" s="11"/>
    </row>
    <row r="744" spans="1:20" ht="12.75">
      <c r="A744" s="165"/>
      <c r="B744" s="221"/>
      <c r="C744" s="115"/>
      <c r="D744" s="115"/>
      <c r="E744" s="59"/>
      <c r="F744" s="33"/>
      <c r="G744" s="52" t="s">
        <v>72</v>
      </c>
      <c r="H744" s="13">
        <v>0</v>
      </c>
      <c r="I744" s="20">
        <v>0</v>
      </c>
      <c r="J744" s="13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24"/>
      <c r="S744" s="243"/>
      <c r="T744" s="11"/>
    </row>
    <row r="745" spans="1:20" ht="12.75" customHeight="1">
      <c r="A745" s="163">
        <v>59</v>
      </c>
      <c r="B745" s="144" t="s">
        <v>152</v>
      </c>
      <c r="C745" s="69"/>
      <c r="D745" s="69"/>
      <c r="E745" s="57"/>
      <c r="F745" s="8"/>
      <c r="G745" s="53" t="s">
        <v>9</v>
      </c>
      <c r="H745" s="54">
        <f>SUM(H746:H756)</f>
        <v>13533.3</v>
      </c>
      <c r="I745" s="54">
        <f aca="true" t="shared" si="201" ref="I745:Q745">SUM(I746:I756)</f>
        <v>0</v>
      </c>
      <c r="J745" s="54">
        <f t="shared" si="201"/>
        <v>13533.3</v>
      </c>
      <c r="K745" s="54">
        <f t="shared" si="201"/>
        <v>0</v>
      </c>
      <c r="L745" s="54">
        <f t="shared" si="201"/>
        <v>0</v>
      </c>
      <c r="M745" s="54">
        <f t="shared" si="201"/>
        <v>0</v>
      </c>
      <c r="N745" s="54">
        <f t="shared" si="201"/>
        <v>0</v>
      </c>
      <c r="O745" s="54">
        <f t="shared" si="201"/>
        <v>0</v>
      </c>
      <c r="P745" s="54">
        <f t="shared" si="201"/>
        <v>0</v>
      </c>
      <c r="Q745" s="54">
        <f t="shared" si="201"/>
        <v>0</v>
      </c>
      <c r="R745" s="214" t="s">
        <v>149</v>
      </c>
      <c r="S745" s="214"/>
      <c r="T745" s="11"/>
    </row>
    <row r="746" spans="1:20" ht="12.75">
      <c r="A746" s="164"/>
      <c r="B746" s="145"/>
      <c r="C746" s="70"/>
      <c r="D746" s="70"/>
      <c r="E746" s="57"/>
      <c r="F746" s="8"/>
      <c r="G746" s="55" t="s">
        <v>13</v>
      </c>
      <c r="H746" s="56">
        <f>J746+L746+N746+P746</f>
        <v>0</v>
      </c>
      <c r="I746" s="56">
        <v>0</v>
      </c>
      <c r="J746" s="56">
        <v>0</v>
      </c>
      <c r="K746" s="56">
        <v>0</v>
      </c>
      <c r="L746" s="56">
        <v>0</v>
      </c>
      <c r="M746" s="56">
        <v>0</v>
      </c>
      <c r="N746" s="56">
        <v>0</v>
      </c>
      <c r="O746" s="56">
        <v>0</v>
      </c>
      <c r="P746" s="56">
        <v>0</v>
      </c>
      <c r="Q746" s="56">
        <v>0</v>
      </c>
      <c r="R746" s="214"/>
      <c r="S746" s="214"/>
      <c r="T746" s="11"/>
    </row>
    <row r="747" spans="1:20" ht="12.75">
      <c r="A747" s="164"/>
      <c r="B747" s="145"/>
      <c r="C747" s="70"/>
      <c r="D747" s="70"/>
      <c r="E747" s="57"/>
      <c r="F747" s="8"/>
      <c r="G747" s="55" t="s">
        <v>11</v>
      </c>
      <c r="H747" s="56">
        <f>J747+L747+N747+P747</f>
        <v>0</v>
      </c>
      <c r="I747" s="56">
        <f>K747+M747+O747+Q747</f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56">
        <v>0</v>
      </c>
      <c r="Q747" s="56">
        <v>0</v>
      </c>
      <c r="R747" s="214"/>
      <c r="S747" s="214"/>
      <c r="T747" s="11"/>
    </row>
    <row r="748" spans="1:20" ht="12.75">
      <c r="A748" s="164"/>
      <c r="B748" s="145"/>
      <c r="C748" s="70"/>
      <c r="D748" s="70"/>
      <c r="E748" s="57"/>
      <c r="F748" s="8"/>
      <c r="G748" s="55" t="s">
        <v>12</v>
      </c>
      <c r="H748" s="56">
        <f>J748+L748+N748+P748</f>
        <v>0</v>
      </c>
      <c r="I748" s="56">
        <f>K748+M748+O748+Q748</f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56">
        <v>0</v>
      </c>
      <c r="Q748" s="56">
        <v>0</v>
      </c>
      <c r="R748" s="214"/>
      <c r="S748" s="214"/>
      <c r="T748" s="11"/>
    </row>
    <row r="749" spans="1:20" ht="12.75">
      <c r="A749" s="164"/>
      <c r="B749" s="145"/>
      <c r="C749" s="70"/>
      <c r="D749" s="70"/>
      <c r="E749" s="57"/>
      <c r="F749" s="8"/>
      <c r="G749" s="55" t="s">
        <v>14</v>
      </c>
      <c r="H749" s="56">
        <f>J749+L749+N749+P749</f>
        <v>0</v>
      </c>
      <c r="I749" s="56">
        <f>K749+M749+O749+Q749</f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56">
        <v>0</v>
      </c>
      <c r="Q749" s="56">
        <v>0</v>
      </c>
      <c r="R749" s="214"/>
      <c r="S749" s="214"/>
      <c r="T749" s="11"/>
    </row>
    <row r="750" spans="1:20" ht="12.75">
      <c r="A750" s="164"/>
      <c r="B750" s="145"/>
      <c r="C750" s="70"/>
      <c r="D750" s="70"/>
      <c r="E750" s="57"/>
      <c r="F750" s="8"/>
      <c r="G750" s="55" t="s">
        <v>15</v>
      </c>
      <c r="H750" s="56">
        <f>J750+L750+N750+P750</f>
        <v>0</v>
      </c>
      <c r="I750" s="56">
        <f>K750+M750+O750+Q750</f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56">
        <v>0</v>
      </c>
      <c r="Q750" s="56">
        <v>0</v>
      </c>
      <c r="R750" s="214"/>
      <c r="S750" s="214"/>
      <c r="T750" s="11"/>
    </row>
    <row r="751" spans="1:20" ht="12.75">
      <c r="A751" s="164"/>
      <c r="B751" s="145"/>
      <c r="C751" s="70"/>
      <c r="D751" s="70"/>
      <c r="E751" s="57"/>
      <c r="F751" s="8"/>
      <c r="G751" s="55" t="s">
        <v>61</v>
      </c>
      <c r="H751" s="56">
        <v>0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56">
        <v>0</v>
      </c>
      <c r="Q751" s="56">
        <v>0</v>
      </c>
      <c r="R751" s="214"/>
      <c r="S751" s="214"/>
      <c r="T751" s="11"/>
    </row>
    <row r="752" spans="1:20" ht="12.75">
      <c r="A752" s="164"/>
      <c r="B752" s="145"/>
      <c r="C752" s="100" t="s">
        <v>163</v>
      </c>
      <c r="D752" s="100" t="s">
        <v>164</v>
      </c>
      <c r="E752" s="57"/>
      <c r="F752" s="8"/>
      <c r="G752" s="55" t="s">
        <v>110</v>
      </c>
      <c r="H752" s="56">
        <f aca="true" t="shared" si="202" ref="H752:I756">J752+L752+N752+P752</f>
        <v>0</v>
      </c>
      <c r="I752" s="56">
        <f t="shared" si="202"/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56">
        <v>0</v>
      </c>
      <c r="Q752" s="56">
        <v>0</v>
      </c>
      <c r="R752" s="214"/>
      <c r="S752" s="214"/>
      <c r="T752" s="11"/>
    </row>
    <row r="753" spans="1:20" ht="12.75">
      <c r="A753" s="164"/>
      <c r="B753" s="145"/>
      <c r="C753" s="70"/>
      <c r="D753" s="70"/>
      <c r="E753" s="57"/>
      <c r="F753" s="8"/>
      <c r="G753" s="55" t="s">
        <v>111</v>
      </c>
      <c r="H753" s="56">
        <f t="shared" si="202"/>
        <v>0</v>
      </c>
      <c r="I753" s="56">
        <f t="shared" si="202"/>
        <v>0</v>
      </c>
      <c r="J753" s="56">
        <v>0</v>
      </c>
      <c r="K753" s="56">
        <v>0</v>
      </c>
      <c r="L753" s="56">
        <v>0</v>
      </c>
      <c r="M753" s="56">
        <v>0</v>
      </c>
      <c r="N753" s="56">
        <v>0</v>
      </c>
      <c r="O753" s="56">
        <v>0</v>
      </c>
      <c r="P753" s="56">
        <v>0</v>
      </c>
      <c r="Q753" s="56">
        <v>0</v>
      </c>
      <c r="R753" s="214"/>
      <c r="S753" s="214"/>
      <c r="T753" s="11"/>
    </row>
    <row r="754" spans="1:20" ht="12.75">
      <c r="A754" s="164"/>
      <c r="B754" s="145"/>
      <c r="C754" s="70"/>
      <c r="D754" s="70"/>
      <c r="E754" s="57"/>
      <c r="F754" s="8"/>
      <c r="G754" s="55" t="s">
        <v>112</v>
      </c>
      <c r="H754" s="56">
        <f t="shared" si="202"/>
        <v>0</v>
      </c>
      <c r="I754" s="56">
        <f t="shared" si="202"/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56">
        <v>0</v>
      </c>
      <c r="Q754" s="56">
        <v>0</v>
      </c>
      <c r="R754" s="214"/>
      <c r="S754" s="214"/>
      <c r="T754" s="11"/>
    </row>
    <row r="755" spans="1:20" ht="12.75">
      <c r="A755" s="164"/>
      <c r="B755" s="145"/>
      <c r="C755" s="70"/>
      <c r="D755" s="70"/>
      <c r="E755" s="57"/>
      <c r="F755" s="8"/>
      <c r="G755" s="55" t="s">
        <v>113</v>
      </c>
      <c r="H755" s="56">
        <f t="shared" si="202"/>
        <v>0</v>
      </c>
      <c r="I755" s="56">
        <f t="shared" si="202"/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56">
        <v>0</v>
      </c>
      <c r="Q755" s="56">
        <v>0</v>
      </c>
      <c r="R755" s="214"/>
      <c r="S755" s="214"/>
      <c r="T755" s="11"/>
    </row>
    <row r="756" spans="1:20" ht="13.5" thickBot="1">
      <c r="A756" s="164"/>
      <c r="B756" s="146"/>
      <c r="C756" s="71"/>
      <c r="D756" s="71"/>
      <c r="E756" s="57"/>
      <c r="F756" s="8"/>
      <c r="G756" s="120" t="s">
        <v>72</v>
      </c>
      <c r="H756" s="121">
        <f t="shared" si="202"/>
        <v>13533.3</v>
      </c>
      <c r="I756" s="121">
        <f t="shared" si="202"/>
        <v>0</v>
      </c>
      <c r="J756" s="121">
        <v>13533.3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56">
        <v>0</v>
      </c>
      <c r="Q756" s="56">
        <v>0</v>
      </c>
      <c r="R756" s="214"/>
      <c r="S756" s="214"/>
      <c r="T756" s="11"/>
    </row>
    <row r="757" spans="1:20" ht="12.75">
      <c r="A757" s="234">
        <v>60</v>
      </c>
      <c r="B757" s="249" t="s">
        <v>153</v>
      </c>
      <c r="C757" s="79"/>
      <c r="D757" s="79"/>
      <c r="E757" s="57"/>
      <c r="F757" s="8"/>
      <c r="G757" s="53" t="s">
        <v>9</v>
      </c>
      <c r="H757" s="56">
        <f>SUM(H758:H768)</f>
        <v>39405</v>
      </c>
      <c r="I757" s="56">
        <f aca="true" t="shared" si="203" ref="I757:Q757">SUM(I758:I768)</f>
        <v>0</v>
      </c>
      <c r="J757" s="56">
        <f t="shared" si="203"/>
        <v>39405</v>
      </c>
      <c r="K757" s="56">
        <f t="shared" si="203"/>
        <v>0</v>
      </c>
      <c r="L757" s="56">
        <f t="shared" si="203"/>
        <v>0</v>
      </c>
      <c r="M757" s="56">
        <f t="shared" si="203"/>
        <v>0</v>
      </c>
      <c r="N757" s="56">
        <f t="shared" si="203"/>
        <v>0</v>
      </c>
      <c r="O757" s="56">
        <f t="shared" si="203"/>
        <v>0</v>
      </c>
      <c r="P757" s="56">
        <f t="shared" si="203"/>
        <v>0</v>
      </c>
      <c r="Q757" s="56">
        <f t="shared" si="203"/>
        <v>0</v>
      </c>
      <c r="R757" s="214" t="s">
        <v>149</v>
      </c>
      <c r="S757" s="214"/>
      <c r="T757" s="11"/>
    </row>
    <row r="758" spans="1:20" ht="12.75">
      <c r="A758" s="234"/>
      <c r="B758" s="250"/>
      <c r="C758" s="78"/>
      <c r="D758" s="78"/>
      <c r="E758" s="57"/>
      <c r="F758" s="8"/>
      <c r="G758" s="55" t="s">
        <v>13</v>
      </c>
      <c r="H758" s="56">
        <v>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56">
        <v>0</v>
      </c>
      <c r="Q758" s="56">
        <v>0</v>
      </c>
      <c r="R758" s="214"/>
      <c r="S758" s="214"/>
      <c r="T758" s="11"/>
    </row>
    <row r="759" spans="1:20" ht="12.75">
      <c r="A759" s="234"/>
      <c r="B759" s="250"/>
      <c r="C759" s="78"/>
      <c r="D759" s="78"/>
      <c r="E759" s="57"/>
      <c r="F759" s="8"/>
      <c r="G759" s="55" t="s">
        <v>11</v>
      </c>
      <c r="H759" s="56">
        <v>5000</v>
      </c>
      <c r="I759" s="56">
        <v>0</v>
      </c>
      <c r="J759" s="56">
        <v>5000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56">
        <v>0</v>
      </c>
      <c r="Q759" s="56">
        <v>0</v>
      </c>
      <c r="R759" s="214"/>
      <c r="S759" s="214"/>
      <c r="T759" s="11"/>
    </row>
    <row r="760" spans="1:20" ht="12.75">
      <c r="A760" s="234"/>
      <c r="B760" s="250"/>
      <c r="C760" s="78"/>
      <c r="D760" s="78"/>
      <c r="E760" s="57"/>
      <c r="F760" s="8"/>
      <c r="G760" s="55" t="s">
        <v>12</v>
      </c>
      <c r="H760" s="56">
        <v>5500</v>
      </c>
      <c r="I760" s="56">
        <v>0</v>
      </c>
      <c r="J760" s="56">
        <v>5500</v>
      </c>
      <c r="K760" s="56">
        <v>0</v>
      </c>
      <c r="L760" s="56">
        <v>0</v>
      </c>
      <c r="M760" s="56">
        <v>0</v>
      </c>
      <c r="N760" s="56">
        <v>0</v>
      </c>
      <c r="O760" s="56">
        <v>0</v>
      </c>
      <c r="P760" s="56">
        <v>0</v>
      </c>
      <c r="Q760" s="56">
        <v>0</v>
      </c>
      <c r="R760" s="214"/>
      <c r="S760" s="214"/>
      <c r="T760" s="11"/>
    </row>
    <row r="761" spans="1:20" ht="12.75">
      <c r="A761" s="234"/>
      <c r="B761" s="250"/>
      <c r="C761" s="78"/>
      <c r="D761" s="78"/>
      <c r="E761" s="57"/>
      <c r="F761" s="8"/>
      <c r="G761" s="55" t="s">
        <v>14</v>
      </c>
      <c r="H761" s="56">
        <v>6050</v>
      </c>
      <c r="I761" s="56">
        <v>0</v>
      </c>
      <c r="J761" s="56">
        <v>6050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56">
        <v>0</v>
      </c>
      <c r="Q761" s="56">
        <v>0</v>
      </c>
      <c r="R761" s="214"/>
      <c r="S761" s="214"/>
      <c r="T761" s="11"/>
    </row>
    <row r="762" spans="1:20" ht="12.75">
      <c r="A762" s="234"/>
      <c r="B762" s="250"/>
      <c r="C762" s="78"/>
      <c r="D762" s="78"/>
      <c r="E762" s="57"/>
      <c r="F762" s="8"/>
      <c r="G762" s="55" t="s">
        <v>15</v>
      </c>
      <c r="H762" s="56">
        <v>6655</v>
      </c>
      <c r="I762" s="56">
        <v>0</v>
      </c>
      <c r="J762" s="56">
        <v>6655</v>
      </c>
      <c r="K762" s="56">
        <v>0</v>
      </c>
      <c r="L762" s="56">
        <v>0</v>
      </c>
      <c r="M762" s="56">
        <v>0</v>
      </c>
      <c r="N762" s="56">
        <v>0</v>
      </c>
      <c r="O762" s="56">
        <v>0</v>
      </c>
      <c r="P762" s="56">
        <v>0</v>
      </c>
      <c r="Q762" s="56">
        <v>0</v>
      </c>
      <c r="R762" s="214"/>
      <c r="S762" s="214"/>
      <c r="T762" s="11"/>
    </row>
    <row r="763" spans="1:20" ht="12.75">
      <c r="A763" s="234"/>
      <c r="B763" s="250"/>
      <c r="C763" s="78"/>
      <c r="D763" s="78"/>
      <c r="E763" s="57"/>
      <c r="F763" s="8"/>
      <c r="G763" s="55" t="s">
        <v>61</v>
      </c>
      <c r="H763" s="56">
        <f aca="true" t="shared" si="204" ref="H763:I768">J763+L763+N763+P763</f>
        <v>0</v>
      </c>
      <c r="I763" s="56">
        <f t="shared" si="204"/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0</v>
      </c>
      <c r="O763" s="56">
        <v>0</v>
      </c>
      <c r="P763" s="56">
        <v>0</v>
      </c>
      <c r="Q763" s="56">
        <v>0</v>
      </c>
      <c r="R763" s="214"/>
      <c r="S763" s="214"/>
      <c r="T763" s="11"/>
    </row>
    <row r="764" spans="1:20" ht="12.75">
      <c r="A764" s="234"/>
      <c r="B764" s="250"/>
      <c r="C764" s="100" t="s">
        <v>163</v>
      </c>
      <c r="D764" s="100" t="s">
        <v>164</v>
      </c>
      <c r="E764" s="57"/>
      <c r="F764" s="8"/>
      <c r="G764" s="55" t="s">
        <v>110</v>
      </c>
      <c r="H764" s="56">
        <f t="shared" si="204"/>
        <v>0</v>
      </c>
      <c r="I764" s="56">
        <f t="shared" si="204"/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0</v>
      </c>
      <c r="R764" s="214"/>
      <c r="S764" s="214"/>
      <c r="T764" s="11"/>
    </row>
    <row r="765" spans="1:20" ht="12.75">
      <c r="A765" s="234"/>
      <c r="B765" s="250"/>
      <c r="C765" s="78"/>
      <c r="D765" s="78"/>
      <c r="E765" s="57"/>
      <c r="F765" s="8"/>
      <c r="G765" s="55" t="s">
        <v>111</v>
      </c>
      <c r="H765" s="56">
        <f t="shared" si="204"/>
        <v>0</v>
      </c>
      <c r="I765" s="56">
        <f t="shared" si="204"/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56">
        <v>0</v>
      </c>
      <c r="Q765" s="56">
        <v>0</v>
      </c>
      <c r="R765" s="214"/>
      <c r="S765" s="214"/>
      <c r="T765" s="11"/>
    </row>
    <row r="766" spans="1:20" ht="12.75">
      <c r="A766" s="234"/>
      <c r="B766" s="250"/>
      <c r="C766" s="78"/>
      <c r="D766" s="78"/>
      <c r="E766" s="57"/>
      <c r="F766" s="8"/>
      <c r="G766" s="55" t="s">
        <v>112</v>
      </c>
      <c r="H766" s="56">
        <f t="shared" si="204"/>
        <v>0</v>
      </c>
      <c r="I766" s="56">
        <f t="shared" si="204"/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56">
        <v>0</v>
      </c>
      <c r="Q766" s="56">
        <v>0</v>
      </c>
      <c r="R766" s="214"/>
      <c r="S766" s="214"/>
      <c r="T766" s="11"/>
    </row>
    <row r="767" spans="1:20" ht="12.75">
      <c r="A767" s="234"/>
      <c r="B767" s="250"/>
      <c r="C767" s="78"/>
      <c r="D767" s="78"/>
      <c r="E767" s="57"/>
      <c r="F767" s="8"/>
      <c r="G767" s="55" t="s">
        <v>113</v>
      </c>
      <c r="H767" s="56">
        <f t="shared" si="204"/>
        <v>0</v>
      </c>
      <c r="I767" s="56">
        <f t="shared" si="204"/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0</v>
      </c>
      <c r="O767" s="56">
        <v>0</v>
      </c>
      <c r="P767" s="56">
        <v>0</v>
      </c>
      <c r="Q767" s="56">
        <v>0</v>
      </c>
      <c r="R767" s="214"/>
      <c r="S767" s="214"/>
      <c r="T767" s="11"/>
    </row>
    <row r="768" spans="1:20" ht="13.5" thickBot="1">
      <c r="A768" s="234"/>
      <c r="B768" s="251"/>
      <c r="C768" s="80"/>
      <c r="D768" s="80"/>
      <c r="E768" s="57"/>
      <c r="F768" s="8"/>
      <c r="G768" s="120" t="s">
        <v>72</v>
      </c>
      <c r="H768" s="121">
        <f t="shared" si="204"/>
        <v>16200</v>
      </c>
      <c r="I768" s="121">
        <f t="shared" si="204"/>
        <v>0</v>
      </c>
      <c r="J768" s="121">
        <v>16200</v>
      </c>
      <c r="K768" s="56">
        <v>0</v>
      </c>
      <c r="L768" s="56">
        <v>0</v>
      </c>
      <c r="M768" s="56">
        <v>0</v>
      </c>
      <c r="N768" s="56">
        <v>0</v>
      </c>
      <c r="O768" s="56">
        <v>0</v>
      </c>
      <c r="P768" s="56">
        <v>0</v>
      </c>
      <c r="Q768" s="56">
        <v>0</v>
      </c>
      <c r="R768" s="214"/>
      <c r="S768" s="214"/>
      <c r="T768" s="11"/>
    </row>
    <row r="769" spans="1:20" ht="12.75">
      <c r="A769" s="234">
        <v>61</v>
      </c>
      <c r="B769" s="245" t="s">
        <v>154</v>
      </c>
      <c r="C769" s="77"/>
      <c r="D769" s="77"/>
      <c r="E769" s="59"/>
      <c r="F769" s="8"/>
      <c r="G769" s="53" t="s">
        <v>9</v>
      </c>
      <c r="H769" s="56">
        <f>SUM(H770:H780)</f>
        <v>150</v>
      </c>
      <c r="I769" s="56">
        <f aca="true" t="shared" si="205" ref="I769:Q769">SUM(I770:I780)</f>
        <v>0</v>
      </c>
      <c r="J769" s="56">
        <f t="shared" si="205"/>
        <v>150</v>
      </c>
      <c r="K769" s="56">
        <f t="shared" si="205"/>
        <v>0</v>
      </c>
      <c r="L769" s="56">
        <f t="shared" si="205"/>
        <v>0</v>
      </c>
      <c r="M769" s="56">
        <f t="shared" si="205"/>
        <v>0</v>
      </c>
      <c r="N769" s="56">
        <f t="shared" si="205"/>
        <v>0</v>
      </c>
      <c r="O769" s="56">
        <f t="shared" si="205"/>
        <v>0</v>
      </c>
      <c r="P769" s="56">
        <f t="shared" si="205"/>
        <v>0</v>
      </c>
      <c r="Q769" s="56">
        <f t="shared" si="205"/>
        <v>0</v>
      </c>
      <c r="R769" s="214" t="s">
        <v>149</v>
      </c>
      <c r="S769" s="214"/>
      <c r="T769" s="11"/>
    </row>
    <row r="770" spans="1:20" ht="12.75">
      <c r="A770" s="234"/>
      <c r="B770" s="200"/>
      <c r="C770" s="77"/>
      <c r="D770" s="77"/>
      <c r="E770" s="59"/>
      <c r="F770" s="8"/>
      <c r="G770" s="55" t="s">
        <v>13</v>
      </c>
      <c r="H770" s="56">
        <f aca="true" t="shared" si="206" ref="H770:H780">J770+L770+N770+P770</f>
        <v>0</v>
      </c>
      <c r="I770" s="56">
        <f aca="true" t="shared" si="207" ref="I770:I780">K770+M770+O770+Q770</f>
        <v>0</v>
      </c>
      <c r="J770" s="56">
        <v>0</v>
      </c>
      <c r="K770" s="56">
        <v>0</v>
      </c>
      <c r="L770" s="56">
        <v>0</v>
      </c>
      <c r="M770" s="56">
        <v>0</v>
      </c>
      <c r="N770" s="56">
        <v>0</v>
      </c>
      <c r="O770" s="56">
        <v>0</v>
      </c>
      <c r="P770" s="56">
        <v>0</v>
      </c>
      <c r="Q770" s="56">
        <v>0</v>
      </c>
      <c r="R770" s="214"/>
      <c r="S770" s="214"/>
      <c r="T770" s="11"/>
    </row>
    <row r="771" spans="1:20" ht="12.75">
      <c r="A771" s="234"/>
      <c r="B771" s="200"/>
      <c r="C771" s="77"/>
      <c r="D771" s="77"/>
      <c r="E771" s="59"/>
      <c r="F771" s="8"/>
      <c r="G771" s="55" t="s">
        <v>11</v>
      </c>
      <c r="H771" s="56">
        <f t="shared" si="206"/>
        <v>0</v>
      </c>
      <c r="I771" s="56">
        <f t="shared" si="207"/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56">
        <v>0</v>
      </c>
      <c r="Q771" s="56">
        <v>0</v>
      </c>
      <c r="R771" s="214"/>
      <c r="S771" s="214"/>
      <c r="T771" s="11"/>
    </row>
    <row r="772" spans="1:20" ht="12.75">
      <c r="A772" s="234"/>
      <c r="B772" s="200"/>
      <c r="C772" s="77"/>
      <c r="D772" s="77"/>
      <c r="E772" s="59"/>
      <c r="F772" s="8"/>
      <c r="G772" s="55" t="s">
        <v>12</v>
      </c>
      <c r="H772" s="56">
        <f t="shared" si="206"/>
        <v>0</v>
      </c>
      <c r="I772" s="56">
        <f t="shared" si="207"/>
        <v>0</v>
      </c>
      <c r="J772" s="56">
        <v>0</v>
      </c>
      <c r="K772" s="56">
        <v>0</v>
      </c>
      <c r="L772" s="56">
        <v>0</v>
      </c>
      <c r="M772" s="56">
        <v>0</v>
      </c>
      <c r="N772" s="56">
        <v>0</v>
      </c>
      <c r="O772" s="56">
        <v>0</v>
      </c>
      <c r="P772" s="56">
        <v>0</v>
      </c>
      <c r="Q772" s="56">
        <v>0</v>
      </c>
      <c r="R772" s="214"/>
      <c r="S772" s="214"/>
      <c r="T772" s="11"/>
    </row>
    <row r="773" spans="1:20" ht="12.75">
      <c r="A773" s="234"/>
      <c r="B773" s="200"/>
      <c r="C773" s="77"/>
      <c r="D773" s="77"/>
      <c r="E773" s="59"/>
      <c r="F773" s="8"/>
      <c r="G773" s="55" t="s">
        <v>14</v>
      </c>
      <c r="H773" s="56">
        <f t="shared" si="206"/>
        <v>0</v>
      </c>
      <c r="I773" s="56">
        <f t="shared" si="207"/>
        <v>0</v>
      </c>
      <c r="J773" s="56">
        <v>0</v>
      </c>
      <c r="K773" s="56">
        <v>0</v>
      </c>
      <c r="L773" s="56">
        <v>0</v>
      </c>
      <c r="M773" s="56">
        <v>0</v>
      </c>
      <c r="N773" s="56">
        <v>0</v>
      </c>
      <c r="O773" s="56">
        <v>0</v>
      </c>
      <c r="P773" s="56">
        <v>0</v>
      </c>
      <c r="Q773" s="56">
        <v>0</v>
      </c>
      <c r="R773" s="214"/>
      <c r="S773" s="214"/>
      <c r="T773" s="11"/>
    </row>
    <row r="774" spans="1:20" ht="12.75">
      <c r="A774" s="234"/>
      <c r="B774" s="200"/>
      <c r="C774" s="77"/>
      <c r="D774" s="77"/>
      <c r="E774" s="59"/>
      <c r="F774" s="8"/>
      <c r="G774" s="55" t="s">
        <v>15</v>
      </c>
      <c r="H774" s="56">
        <f t="shared" si="206"/>
        <v>0</v>
      </c>
      <c r="I774" s="56">
        <f t="shared" si="207"/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56">
        <v>0</v>
      </c>
      <c r="Q774" s="56">
        <v>0</v>
      </c>
      <c r="R774" s="214"/>
      <c r="S774" s="214"/>
      <c r="T774" s="11"/>
    </row>
    <row r="775" spans="1:20" ht="12.75">
      <c r="A775" s="234"/>
      <c r="B775" s="200"/>
      <c r="C775" s="77"/>
      <c r="D775" s="77"/>
      <c r="E775" s="59"/>
      <c r="F775" s="8"/>
      <c r="G775" s="55" t="s">
        <v>61</v>
      </c>
      <c r="H775" s="56">
        <f t="shared" si="206"/>
        <v>0</v>
      </c>
      <c r="I775" s="56">
        <f t="shared" si="207"/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56">
        <v>0</v>
      </c>
      <c r="Q775" s="56">
        <v>0</v>
      </c>
      <c r="R775" s="214"/>
      <c r="S775" s="214"/>
      <c r="T775" s="11"/>
    </row>
    <row r="776" spans="1:20" ht="12.75">
      <c r="A776" s="234"/>
      <c r="B776" s="200"/>
      <c r="C776" s="100" t="s">
        <v>163</v>
      </c>
      <c r="D776" s="100" t="s">
        <v>164</v>
      </c>
      <c r="E776" s="59"/>
      <c r="F776" s="8"/>
      <c r="G776" s="55" t="s">
        <v>110</v>
      </c>
      <c r="H776" s="56">
        <f t="shared" si="206"/>
        <v>0</v>
      </c>
      <c r="I776" s="56">
        <f t="shared" si="207"/>
        <v>0</v>
      </c>
      <c r="J776" s="56">
        <v>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56">
        <v>0</v>
      </c>
      <c r="Q776" s="56">
        <v>0</v>
      </c>
      <c r="R776" s="214"/>
      <c r="S776" s="214"/>
      <c r="T776" s="11"/>
    </row>
    <row r="777" spans="1:20" ht="12.75">
      <c r="A777" s="234"/>
      <c r="B777" s="200"/>
      <c r="C777" s="77"/>
      <c r="D777" s="77"/>
      <c r="E777" s="59"/>
      <c r="F777" s="8"/>
      <c r="G777" s="55" t="s">
        <v>111</v>
      </c>
      <c r="H777" s="56">
        <f t="shared" si="206"/>
        <v>0</v>
      </c>
      <c r="I777" s="56">
        <f t="shared" si="207"/>
        <v>0</v>
      </c>
      <c r="J777" s="56">
        <v>0</v>
      </c>
      <c r="K777" s="56">
        <v>0</v>
      </c>
      <c r="L777" s="56">
        <v>0</v>
      </c>
      <c r="M777" s="56">
        <v>0</v>
      </c>
      <c r="N777" s="56">
        <v>0</v>
      </c>
      <c r="O777" s="56">
        <v>0</v>
      </c>
      <c r="P777" s="56">
        <v>0</v>
      </c>
      <c r="Q777" s="56">
        <v>0</v>
      </c>
      <c r="R777" s="214"/>
      <c r="S777" s="214"/>
      <c r="T777" s="11"/>
    </row>
    <row r="778" spans="1:20" ht="12.75">
      <c r="A778" s="234"/>
      <c r="B778" s="200"/>
      <c r="C778" s="77"/>
      <c r="D778" s="77"/>
      <c r="E778" s="59"/>
      <c r="F778" s="8"/>
      <c r="G778" s="55" t="s">
        <v>112</v>
      </c>
      <c r="H778" s="56">
        <f t="shared" si="206"/>
        <v>0</v>
      </c>
      <c r="I778" s="56">
        <f t="shared" si="207"/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56">
        <v>0</v>
      </c>
      <c r="Q778" s="56">
        <v>0</v>
      </c>
      <c r="R778" s="214"/>
      <c r="S778" s="214"/>
      <c r="T778" s="11"/>
    </row>
    <row r="779" spans="1:20" ht="12.75">
      <c r="A779" s="234"/>
      <c r="B779" s="200"/>
      <c r="C779" s="77"/>
      <c r="D779" s="77"/>
      <c r="E779" s="59"/>
      <c r="F779" s="8"/>
      <c r="G779" s="55" t="s">
        <v>113</v>
      </c>
      <c r="H779" s="56">
        <f t="shared" si="206"/>
        <v>0</v>
      </c>
      <c r="I779" s="56">
        <f t="shared" si="207"/>
        <v>0</v>
      </c>
      <c r="J779" s="56">
        <v>0</v>
      </c>
      <c r="K779" s="56">
        <v>0</v>
      </c>
      <c r="L779" s="56">
        <v>0</v>
      </c>
      <c r="M779" s="56">
        <v>0</v>
      </c>
      <c r="N779" s="56">
        <v>0</v>
      </c>
      <c r="O779" s="56">
        <v>0</v>
      </c>
      <c r="P779" s="56">
        <v>0</v>
      </c>
      <c r="Q779" s="56">
        <v>0</v>
      </c>
      <c r="R779" s="214"/>
      <c r="S779" s="214"/>
      <c r="T779" s="11"/>
    </row>
    <row r="780" spans="1:20" ht="12.75">
      <c r="A780" s="234"/>
      <c r="B780" s="201"/>
      <c r="C780" s="77"/>
      <c r="D780" s="77"/>
      <c r="E780" s="59"/>
      <c r="F780" s="8"/>
      <c r="G780" s="120" t="s">
        <v>72</v>
      </c>
      <c r="H780" s="121">
        <f t="shared" si="206"/>
        <v>150</v>
      </c>
      <c r="I780" s="121">
        <f t="shared" si="207"/>
        <v>0</v>
      </c>
      <c r="J780" s="121">
        <v>150</v>
      </c>
      <c r="K780" s="56">
        <v>0</v>
      </c>
      <c r="L780" s="56">
        <v>0</v>
      </c>
      <c r="M780" s="56">
        <v>0</v>
      </c>
      <c r="N780" s="56">
        <v>0</v>
      </c>
      <c r="O780" s="56">
        <v>0</v>
      </c>
      <c r="P780" s="56">
        <v>0</v>
      </c>
      <c r="Q780" s="56">
        <v>0</v>
      </c>
      <c r="R780" s="214"/>
      <c r="S780" s="214"/>
      <c r="T780" s="11"/>
    </row>
    <row r="781" spans="1:20" ht="12.75">
      <c r="A781" s="234">
        <v>62</v>
      </c>
      <c r="B781" s="246" t="s">
        <v>155</v>
      </c>
      <c r="C781" s="116"/>
      <c r="D781" s="116"/>
      <c r="E781" s="59"/>
      <c r="F781" s="8"/>
      <c r="G781" s="53" t="s">
        <v>9</v>
      </c>
      <c r="H781" s="56">
        <f>SUM(H782:H792)</f>
        <v>93.88</v>
      </c>
      <c r="I781" s="56">
        <f aca="true" t="shared" si="208" ref="I781:Q781">SUM(I782:I792)</f>
        <v>0</v>
      </c>
      <c r="J781" s="56">
        <f t="shared" si="208"/>
        <v>93.88</v>
      </c>
      <c r="K781" s="56">
        <f t="shared" si="208"/>
        <v>0</v>
      </c>
      <c r="L781" s="56">
        <f t="shared" si="208"/>
        <v>0</v>
      </c>
      <c r="M781" s="56">
        <f t="shared" si="208"/>
        <v>0</v>
      </c>
      <c r="N781" s="56">
        <f t="shared" si="208"/>
        <v>0</v>
      </c>
      <c r="O781" s="56">
        <f t="shared" si="208"/>
        <v>0</v>
      </c>
      <c r="P781" s="56">
        <f t="shared" si="208"/>
        <v>0</v>
      </c>
      <c r="Q781" s="56">
        <f t="shared" si="208"/>
        <v>0</v>
      </c>
      <c r="R781" s="244" t="s">
        <v>149</v>
      </c>
      <c r="S781" s="244"/>
      <c r="T781" s="11"/>
    </row>
    <row r="782" spans="1:20" ht="12.75">
      <c r="A782" s="234"/>
      <c r="B782" s="247"/>
      <c r="C782" s="117"/>
      <c r="D782" s="117"/>
      <c r="E782" s="59"/>
      <c r="F782" s="8"/>
      <c r="G782" s="55" t="s">
        <v>13</v>
      </c>
      <c r="H782" s="56">
        <f aca="true" t="shared" si="209" ref="H782:H792">J782+L782+N782+P782</f>
        <v>0</v>
      </c>
      <c r="I782" s="56">
        <f aca="true" t="shared" si="210" ref="I782:I792">K782+M782+O782+Q782</f>
        <v>0</v>
      </c>
      <c r="J782" s="56">
        <v>0</v>
      </c>
      <c r="K782" s="56">
        <v>0</v>
      </c>
      <c r="L782" s="56">
        <v>0</v>
      </c>
      <c r="M782" s="56">
        <v>0</v>
      </c>
      <c r="N782" s="56">
        <v>0</v>
      </c>
      <c r="O782" s="56">
        <v>0</v>
      </c>
      <c r="P782" s="56">
        <v>0</v>
      </c>
      <c r="Q782" s="56">
        <v>0</v>
      </c>
      <c r="R782" s="244"/>
      <c r="S782" s="244"/>
      <c r="T782" s="11"/>
    </row>
    <row r="783" spans="1:20" ht="12.75">
      <c r="A783" s="234"/>
      <c r="B783" s="247"/>
      <c r="C783" s="117"/>
      <c r="D783" s="117"/>
      <c r="E783" s="59"/>
      <c r="F783" s="8"/>
      <c r="G783" s="55" t="s">
        <v>11</v>
      </c>
      <c r="H783" s="56">
        <f t="shared" si="209"/>
        <v>0</v>
      </c>
      <c r="I783" s="56">
        <f t="shared" si="210"/>
        <v>0</v>
      </c>
      <c r="J783" s="56">
        <v>0</v>
      </c>
      <c r="K783" s="56">
        <v>0</v>
      </c>
      <c r="L783" s="56">
        <v>0</v>
      </c>
      <c r="M783" s="56">
        <v>0</v>
      </c>
      <c r="N783" s="56">
        <v>0</v>
      </c>
      <c r="O783" s="56">
        <v>0</v>
      </c>
      <c r="P783" s="56">
        <v>0</v>
      </c>
      <c r="Q783" s="56">
        <v>0</v>
      </c>
      <c r="R783" s="244"/>
      <c r="S783" s="244"/>
      <c r="T783" s="11"/>
    </row>
    <row r="784" spans="1:20" ht="12.75">
      <c r="A784" s="234"/>
      <c r="B784" s="247"/>
      <c r="C784" s="117"/>
      <c r="D784" s="117"/>
      <c r="E784" s="59"/>
      <c r="F784" s="8"/>
      <c r="G784" s="55" t="s">
        <v>12</v>
      </c>
      <c r="H784" s="56">
        <f t="shared" si="209"/>
        <v>0</v>
      </c>
      <c r="I784" s="56">
        <f t="shared" si="210"/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244"/>
      <c r="S784" s="244"/>
      <c r="T784" s="11"/>
    </row>
    <row r="785" spans="1:20" ht="12.75">
      <c r="A785" s="234"/>
      <c r="B785" s="247"/>
      <c r="C785" s="117"/>
      <c r="D785" s="117"/>
      <c r="E785" s="59"/>
      <c r="F785" s="8"/>
      <c r="G785" s="55" t="s">
        <v>14</v>
      </c>
      <c r="H785" s="56">
        <f t="shared" si="209"/>
        <v>0</v>
      </c>
      <c r="I785" s="56">
        <f t="shared" si="210"/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56">
        <v>0</v>
      </c>
      <c r="Q785" s="56">
        <v>0</v>
      </c>
      <c r="R785" s="244"/>
      <c r="S785" s="244"/>
      <c r="T785" s="11"/>
    </row>
    <row r="786" spans="1:20" ht="12.75">
      <c r="A786" s="234"/>
      <c r="B786" s="247"/>
      <c r="C786" s="117"/>
      <c r="D786" s="117"/>
      <c r="E786" s="59"/>
      <c r="F786" s="8"/>
      <c r="G786" s="55" t="s">
        <v>15</v>
      </c>
      <c r="H786" s="56">
        <f t="shared" si="209"/>
        <v>0</v>
      </c>
      <c r="I786" s="56">
        <f t="shared" si="210"/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56">
        <v>0</v>
      </c>
      <c r="Q786" s="56">
        <v>0</v>
      </c>
      <c r="R786" s="244"/>
      <c r="S786" s="244"/>
      <c r="T786" s="11"/>
    </row>
    <row r="787" spans="1:20" ht="12.75">
      <c r="A787" s="234"/>
      <c r="B787" s="247"/>
      <c r="C787" s="117"/>
      <c r="D787" s="117"/>
      <c r="E787" s="59"/>
      <c r="F787" s="8"/>
      <c r="G787" s="55" t="s">
        <v>61</v>
      </c>
      <c r="H787" s="56">
        <f t="shared" si="209"/>
        <v>0</v>
      </c>
      <c r="I787" s="56">
        <f t="shared" si="210"/>
        <v>0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0</v>
      </c>
      <c r="P787" s="56">
        <v>0</v>
      </c>
      <c r="Q787" s="56">
        <v>0</v>
      </c>
      <c r="R787" s="244"/>
      <c r="S787" s="244"/>
      <c r="T787" s="11"/>
    </row>
    <row r="788" spans="1:20" ht="12.75">
      <c r="A788" s="234"/>
      <c r="B788" s="247"/>
      <c r="C788" s="113" t="s">
        <v>163</v>
      </c>
      <c r="D788" s="113" t="s">
        <v>164</v>
      </c>
      <c r="E788" s="59"/>
      <c r="F788" s="8"/>
      <c r="G788" s="55" t="s">
        <v>110</v>
      </c>
      <c r="H788" s="56">
        <f t="shared" si="209"/>
        <v>0</v>
      </c>
      <c r="I788" s="56">
        <f t="shared" si="210"/>
        <v>0</v>
      </c>
      <c r="J788" s="56">
        <v>0</v>
      </c>
      <c r="K788" s="56">
        <v>0</v>
      </c>
      <c r="L788" s="56">
        <v>0</v>
      </c>
      <c r="M788" s="56">
        <v>0</v>
      </c>
      <c r="N788" s="56">
        <v>0</v>
      </c>
      <c r="O788" s="56">
        <v>0</v>
      </c>
      <c r="P788" s="56">
        <v>0</v>
      </c>
      <c r="Q788" s="56">
        <v>0</v>
      </c>
      <c r="R788" s="244"/>
      <c r="S788" s="244"/>
      <c r="T788" s="11"/>
    </row>
    <row r="789" spans="1:20" ht="12.75">
      <c r="A789" s="234"/>
      <c r="B789" s="247"/>
      <c r="C789" s="117"/>
      <c r="D789" s="117"/>
      <c r="E789" s="59"/>
      <c r="F789" s="8"/>
      <c r="G789" s="120" t="s">
        <v>111</v>
      </c>
      <c r="H789" s="121">
        <f t="shared" si="209"/>
        <v>31.28</v>
      </c>
      <c r="I789" s="121">
        <f t="shared" si="210"/>
        <v>0</v>
      </c>
      <c r="J789" s="121">
        <v>31.28</v>
      </c>
      <c r="K789" s="121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244"/>
      <c r="S789" s="244"/>
      <c r="T789" s="11"/>
    </row>
    <row r="790" spans="1:20" ht="12.75">
      <c r="A790" s="234"/>
      <c r="B790" s="247"/>
      <c r="C790" s="117"/>
      <c r="D790" s="117"/>
      <c r="E790" s="59"/>
      <c r="F790" s="8"/>
      <c r="G790" s="120" t="s">
        <v>112</v>
      </c>
      <c r="H790" s="121">
        <f t="shared" si="209"/>
        <v>31.3</v>
      </c>
      <c r="I790" s="121">
        <f t="shared" si="210"/>
        <v>0</v>
      </c>
      <c r="J790" s="121">
        <v>31.3</v>
      </c>
      <c r="K790" s="121">
        <v>0</v>
      </c>
      <c r="L790" s="56">
        <v>0</v>
      </c>
      <c r="M790" s="56">
        <v>0</v>
      </c>
      <c r="N790" s="56">
        <v>0</v>
      </c>
      <c r="O790" s="56">
        <v>0</v>
      </c>
      <c r="P790" s="56">
        <v>0</v>
      </c>
      <c r="Q790" s="56">
        <v>0</v>
      </c>
      <c r="R790" s="244"/>
      <c r="S790" s="244"/>
      <c r="T790" s="11"/>
    </row>
    <row r="791" spans="1:20" ht="12.75">
      <c r="A791" s="234"/>
      <c r="B791" s="247"/>
      <c r="C791" s="117"/>
      <c r="D791" s="117"/>
      <c r="E791" s="59"/>
      <c r="F791" s="8"/>
      <c r="G791" s="120" t="s">
        <v>113</v>
      </c>
      <c r="H791" s="121">
        <f t="shared" si="209"/>
        <v>31.3</v>
      </c>
      <c r="I791" s="121">
        <f t="shared" si="210"/>
        <v>0</v>
      </c>
      <c r="J791" s="121">
        <v>31.3</v>
      </c>
      <c r="K791" s="121">
        <v>0</v>
      </c>
      <c r="L791" s="56">
        <v>0</v>
      </c>
      <c r="M791" s="56">
        <v>0</v>
      </c>
      <c r="N791" s="56">
        <v>0</v>
      </c>
      <c r="O791" s="56">
        <v>0</v>
      </c>
      <c r="P791" s="56">
        <v>0</v>
      </c>
      <c r="Q791" s="56">
        <v>0</v>
      </c>
      <c r="R791" s="244"/>
      <c r="S791" s="244"/>
      <c r="T791" s="11"/>
    </row>
    <row r="792" spans="1:20" ht="12.75">
      <c r="A792" s="234"/>
      <c r="B792" s="248"/>
      <c r="C792" s="117"/>
      <c r="D792" s="117"/>
      <c r="E792" s="59"/>
      <c r="F792" s="8"/>
      <c r="G792" s="55" t="s">
        <v>72</v>
      </c>
      <c r="H792" s="56">
        <f t="shared" si="209"/>
        <v>0</v>
      </c>
      <c r="I792" s="56">
        <f t="shared" si="210"/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56">
        <v>0</v>
      </c>
      <c r="Q792" s="56">
        <v>0</v>
      </c>
      <c r="R792" s="244"/>
      <c r="S792" s="244"/>
      <c r="T792" s="11"/>
    </row>
    <row r="793" spans="1:20" ht="12.75">
      <c r="A793" s="234">
        <v>63</v>
      </c>
      <c r="B793" s="246" t="s">
        <v>172</v>
      </c>
      <c r="C793" s="116"/>
      <c r="D793" s="116"/>
      <c r="E793" s="106"/>
      <c r="F793" s="8"/>
      <c r="G793" s="53" t="s">
        <v>9</v>
      </c>
      <c r="H793" s="56">
        <f>SUM(H794:H804)</f>
        <v>1027.525</v>
      </c>
      <c r="I793" s="56">
        <f aca="true" t="shared" si="211" ref="I793:Q793">SUM(I794:I804)</f>
        <v>320.725</v>
      </c>
      <c r="J793" s="56">
        <f t="shared" si="211"/>
        <v>1027.525</v>
      </c>
      <c r="K793" s="56">
        <f t="shared" si="211"/>
        <v>320.725</v>
      </c>
      <c r="L793" s="56">
        <f t="shared" si="211"/>
        <v>0</v>
      </c>
      <c r="M793" s="56">
        <f t="shared" si="211"/>
        <v>0</v>
      </c>
      <c r="N793" s="56">
        <f t="shared" si="211"/>
        <v>0</v>
      </c>
      <c r="O793" s="56">
        <f t="shared" si="211"/>
        <v>0</v>
      </c>
      <c r="P793" s="56">
        <f t="shared" si="211"/>
        <v>0</v>
      </c>
      <c r="Q793" s="56">
        <f t="shared" si="211"/>
        <v>0</v>
      </c>
      <c r="R793" s="244" t="s">
        <v>149</v>
      </c>
      <c r="S793" s="244"/>
      <c r="T793" s="11"/>
    </row>
    <row r="794" spans="1:20" ht="12.75">
      <c r="A794" s="234"/>
      <c r="B794" s="247"/>
      <c r="C794" s="117"/>
      <c r="D794" s="117"/>
      <c r="E794" s="106"/>
      <c r="F794" s="8"/>
      <c r="G794" s="55" t="s">
        <v>13</v>
      </c>
      <c r="H794" s="56">
        <f aca="true" t="shared" si="212" ref="H794:H804">J794+L794+N794+P794</f>
        <v>0</v>
      </c>
      <c r="I794" s="56">
        <f aca="true" t="shared" si="213" ref="I794:I804">K794+M794+O794+Q794</f>
        <v>0</v>
      </c>
      <c r="J794" s="56">
        <v>0</v>
      </c>
      <c r="K794" s="56">
        <v>0</v>
      </c>
      <c r="L794" s="56">
        <v>0</v>
      </c>
      <c r="M794" s="56">
        <v>0</v>
      </c>
      <c r="N794" s="56">
        <v>0</v>
      </c>
      <c r="O794" s="56">
        <v>0</v>
      </c>
      <c r="P794" s="56">
        <v>0</v>
      </c>
      <c r="Q794" s="56">
        <v>0</v>
      </c>
      <c r="R794" s="244"/>
      <c r="S794" s="244"/>
      <c r="T794" s="11"/>
    </row>
    <row r="795" spans="1:20" ht="12.75">
      <c r="A795" s="234"/>
      <c r="B795" s="247"/>
      <c r="C795" s="117"/>
      <c r="D795" s="117"/>
      <c r="E795" s="106"/>
      <c r="F795" s="8"/>
      <c r="G795" s="55" t="s">
        <v>11</v>
      </c>
      <c r="H795" s="56">
        <f t="shared" si="212"/>
        <v>0</v>
      </c>
      <c r="I795" s="56">
        <f t="shared" si="213"/>
        <v>0</v>
      </c>
      <c r="J795" s="56">
        <v>0</v>
      </c>
      <c r="K795" s="56">
        <v>0</v>
      </c>
      <c r="L795" s="56">
        <v>0</v>
      </c>
      <c r="M795" s="56">
        <v>0</v>
      </c>
      <c r="N795" s="56">
        <v>0</v>
      </c>
      <c r="O795" s="56">
        <v>0</v>
      </c>
      <c r="P795" s="56">
        <v>0</v>
      </c>
      <c r="Q795" s="56">
        <v>0</v>
      </c>
      <c r="R795" s="244"/>
      <c r="S795" s="244"/>
      <c r="T795" s="11"/>
    </row>
    <row r="796" spans="1:20" ht="12.75">
      <c r="A796" s="234"/>
      <c r="B796" s="247"/>
      <c r="C796" s="117"/>
      <c r="D796" s="117"/>
      <c r="E796" s="106"/>
      <c r="F796" s="8"/>
      <c r="G796" s="55" t="s">
        <v>12</v>
      </c>
      <c r="H796" s="56">
        <f t="shared" si="212"/>
        <v>0</v>
      </c>
      <c r="I796" s="56">
        <f t="shared" si="213"/>
        <v>0</v>
      </c>
      <c r="J796" s="56">
        <v>0</v>
      </c>
      <c r="K796" s="56">
        <v>0</v>
      </c>
      <c r="L796" s="56">
        <v>0</v>
      </c>
      <c r="M796" s="56">
        <v>0</v>
      </c>
      <c r="N796" s="56">
        <v>0</v>
      </c>
      <c r="O796" s="56">
        <v>0</v>
      </c>
      <c r="P796" s="56">
        <v>0</v>
      </c>
      <c r="Q796" s="56">
        <v>0</v>
      </c>
      <c r="R796" s="244"/>
      <c r="S796" s="244"/>
      <c r="T796" s="11"/>
    </row>
    <row r="797" spans="1:20" ht="12.75">
      <c r="A797" s="234"/>
      <c r="B797" s="247"/>
      <c r="C797" s="117"/>
      <c r="D797" s="117"/>
      <c r="E797" s="106"/>
      <c r="F797" s="8"/>
      <c r="G797" s="55" t="s">
        <v>14</v>
      </c>
      <c r="H797" s="56">
        <f t="shared" si="212"/>
        <v>0</v>
      </c>
      <c r="I797" s="56">
        <f t="shared" si="213"/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56">
        <v>0</v>
      </c>
      <c r="Q797" s="56">
        <v>0</v>
      </c>
      <c r="R797" s="244"/>
      <c r="S797" s="244"/>
      <c r="T797" s="11"/>
    </row>
    <row r="798" spans="1:20" ht="12.75">
      <c r="A798" s="234"/>
      <c r="B798" s="247"/>
      <c r="C798" s="117"/>
      <c r="D798" s="117"/>
      <c r="E798" s="106"/>
      <c r="F798" s="8"/>
      <c r="G798" s="55" t="s">
        <v>15</v>
      </c>
      <c r="H798" s="56">
        <f t="shared" si="212"/>
        <v>0</v>
      </c>
      <c r="I798" s="56">
        <f t="shared" si="213"/>
        <v>0</v>
      </c>
      <c r="J798" s="56">
        <v>0</v>
      </c>
      <c r="K798" s="56">
        <v>0</v>
      </c>
      <c r="L798" s="56">
        <v>0</v>
      </c>
      <c r="M798" s="56">
        <v>0</v>
      </c>
      <c r="N798" s="56">
        <v>0</v>
      </c>
      <c r="O798" s="56">
        <v>0</v>
      </c>
      <c r="P798" s="56">
        <v>0</v>
      </c>
      <c r="Q798" s="56">
        <v>0</v>
      </c>
      <c r="R798" s="244"/>
      <c r="S798" s="244"/>
      <c r="T798" s="11"/>
    </row>
    <row r="799" spans="1:20" ht="12.75">
      <c r="A799" s="234"/>
      <c r="B799" s="247"/>
      <c r="C799" s="117"/>
      <c r="D799" s="117"/>
      <c r="E799" s="106"/>
      <c r="F799" s="8"/>
      <c r="G799" s="55" t="s">
        <v>61</v>
      </c>
      <c r="H799" s="56">
        <f t="shared" si="212"/>
        <v>0</v>
      </c>
      <c r="I799" s="56">
        <f t="shared" si="213"/>
        <v>0</v>
      </c>
      <c r="J799" s="56">
        <v>0</v>
      </c>
      <c r="K799" s="56">
        <v>0</v>
      </c>
      <c r="L799" s="56">
        <v>0</v>
      </c>
      <c r="M799" s="56">
        <v>0</v>
      </c>
      <c r="N799" s="56">
        <v>0</v>
      </c>
      <c r="O799" s="56">
        <v>0</v>
      </c>
      <c r="P799" s="56">
        <v>0</v>
      </c>
      <c r="Q799" s="56">
        <v>0</v>
      </c>
      <c r="R799" s="244"/>
      <c r="S799" s="244"/>
      <c r="T799" s="11"/>
    </row>
    <row r="800" spans="1:20" ht="12.75">
      <c r="A800" s="234"/>
      <c r="B800" s="247"/>
      <c r="C800" s="113" t="s">
        <v>163</v>
      </c>
      <c r="D800" s="113" t="s">
        <v>164</v>
      </c>
      <c r="E800" s="105" t="s">
        <v>169</v>
      </c>
      <c r="F800" s="8"/>
      <c r="G800" s="120" t="s">
        <v>110</v>
      </c>
      <c r="H800" s="121">
        <v>320.725</v>
      </c>
      <c r="I800" s="121">
        <v>320.725</v>
      </c>
      <c r="J800" s="121">
        <v>320.725</v>
      </c>
      <c r="K800" s="121">
        <v>320.725</v>
      </c>
      <c r="L800" s="56">
        <v>0</v>
      </c>
      <c r="M800" s="56">
        <v>0</v>
      </c>
      <c r="N800" s="56">
        <v>0</v>
      </c>
      <c r="O800" s="56">
        <v>0</v>
      </c>
      <c r="P800" s="56">
        <v>0</v>
      </c>
      <c r="Q800" s="56">
        <v>0</v>
      </c>
      <c r="R800" s="244"/>
      <c r="S800" s="244"/>
      <c r="T800" s="11"/>
    </row>
    <row r="801" spans="1:20" ht="12.75">
      <c r="A801" s="234"/>
      <c r="B801" s="247"/>
      <c r="C801" s="117"/>
      <c r="D801" s="117"/>
      <c r="E801" s="106"/>
      <c r="F801" s="8"/>
      <c r="G801" s="120" t="s">
        <v>111</v>
      </c>
      <c r="H801" s="121">
        <f t="shared" si="212"/>
        <v>706.8</v>
      </c>
      <c r="I801" s="121">
        <f t="shared" si="213"/>
        <v>0</v>
      </c>
      <c r="J801" s="121">
        <v>706.8</v>
      </c>
      <c r="K801" s="121">
        <v>0</v>
      </c>
      <c r="L801" s="56">
        <v>0</v>
      </c>
      <c r="M801" s="56">
        <v>0</v>
      </c>
      <c r="N801" s="56">
        <v>0</v>
      </c>
      <c r="O801" s="56">
        <v>0</v>
      </c>
      <c r="P801" s="56">
        <v>0</v>
      </c>
      <c r="Q801" s="56">
        <v>0</v>
      </c>
      <c r="R801" s="244"/>
      <c r="S801" s="244"/>
      <c r="T801" s="11"/>
    </row>
    <row r="802" spans="1:20" ht="12.75">
      <c r="A802" s="234"/>
      <c r="B802" s="247"/>
      <c r="C802" s="117"/>
      <c r="D802" s="117"/>
      <c r="E802" s="106"/>
      <c r="F802" s="8"/>
      <c r="G802" s="120" t="s">
        <v>112</v>
      </c>
      <c r="H802" s="121">
        <f t="shared" si="212"/>
        <v>0</v>
      </c>
      <c r="I802" s="121">
        <f t="shared" si="213"/>
        <v>0</v>
      </c>
      <c r="J802" s="121">
        <v>0</v>
      </c>
      <c r="K802" s="121">
        <v>0</v>
      </c>
      <c r="L802" s="56">
        <v>0</v>
      </c>
      <c r="M802" s="56">
        <v>0</v>
      </c>
      <c r="N802" s="56">
        <v>0</v>
      </c>
      <c r="O802" s="56">
        <v>0</v>
      </c>
      <c r="P802" s="56">
        <v>0</v>
      </c>
      <c r="Q802" s="56">
        <v>0</v>
      </c>
      <c r="R802" s="244"/>
      <c r="S802" s="244"/>
      <c r="T802" s="11"/>
    </row>
    <row r="803" spans="1:20" ht="12.75">
      <c r="A803" s="234"/>
      <c r="B803" s="247"/>
      <c r="C803" s="117"/>
      <c r="D803" s="117"/>
      <c r="E803" s="106"/>
      <c r="F803" s="8"/>
      <c r="G803" s="120" t="s">
        <v>113</v>
      </c>
      <c r="H803" s="121">
        <f t="shared" si="212"/>
        <v>0</v>
      </c>
      <c r="I803" s="121">
        <f t="shared" si="213"/>
        <v>0</v>
      </c>
      <c r="J803" s="121">
        <v>0</v>
      </c>
      <c r="K803" s="121">
        <v>0</v>
      </c>
      <c r="L803" s="56">
        <v>0</v>
      </c>
      <c r="M803" s="56">
        <v>0</v>
      </c>
      <c r="N803" s="56">
        <v>0</v>
      </c>
      <c r="O803" s="56">
        <v>0</v>
      </c>
      <c r="P803" s="56">
        <v>0</v>
      </c>
      <c r="Q803" s="56">
        <v>0</v>
      </c>
      <c r="R803" s="244"/>
      <c r="S803" s="244"/>
      <c r="T803" s="11"/>
    </row>
    <row r="804" spans="1:20" ht="12.75">
      <c r="A804" s="234"/>
      <c r="B804" s="248"/>
      <c r="C804" s="117"/>
      <c r="D804" s="117"/>
      <c r="E804" s="106"/>
      <c r="F804" s="8"/>
      <c r="G804" s="55" t="s">
        <v>72</v>
      </c>
      <c r="H804" s="56">
        <f t="shared" si="212"/>
        <v>0</v>
      </c>
      <c r="I804" s="56">
        <f t="shared" si="213"/>
        <v>0</v>
      </c>
      <c r="J804" s="56">
        <v>0</v>
      </c>
      <c r="K804" s="56">
        <v>0</v>
      </c>
      <c r="L804" s="56">
        <v>0</v>
      </c>
      <c r="M804" s="56">
        <v>0</v>
      </c>
      <c r="N804" s="56">
        <v>0</v>
      </c>
      <c r="O804" s="56">
        <v>0</v>
      </c>
      <c r="P804" s="56">
        <v>0</v>
      </c>
      <c r="Q804" s="56">
        <v>0</v>
      </c>
      <c r="R804" s="244"/>
      <c r="S804" s="244"/>
      <c r="T804" s="11"/>
    </row>
    <row r="805" spans="1:20" ht="12.75">
      <c r="A805" s="234">
        <v>64</v>
      </c>
      <c r="B805" s="246" t="s">
        <v>171</v>
      </c>
      <c r="C805" s="116"/>
      <c r="D805" s="116"/>
      <c r="E805" s="106"/>
      <c r="F805" s="8"/>
      <c r="G805" s="53" t="s">
        <v>9</v>
      </c>
      <c r="H805" s="56">
        <f>SUM(H806:H816)</f>
        <v>602.626</v>
      </c>
      <c r="I805" s="56">
        <f aca="true" t="shared" si="214" ref="I805:Q805">SUM(I806:I816)</f>
        <v>602.626</v>
      </c>
      <c r="J805" s="56">
        <f t="shared" si="214"/>
        <v>602.626</v>
      </c>
      <c r="K805" s="56">
        <f t="shared" si="214"/>
        <v>602.626</v>
      </c>
      <c r="L805" s="56">
        <f t="shared" si="214"/>
        <v>0</v>
      </c>
      <c r="M805" s="56">
        <f t="shared" si="214"/>
        <v>0</v>
      </c>
      <c r="N805" s="56">
        <f t="shared" si="214"/>
        <v>0</v>
      </c>
      <c r="O805" s="56">
        <f t="shared" si="214"/>
        <v>0</v>
      </c>
      <c r="P805" s="56">
        <f t="shared" si="214"/>
        <v>0</v>
      </c>
      <c r="Q805" s="56">
        <f t="shared" si="214"/>
        <v>0</v>
      </c>
      <c r="R805" s="244" t="s">
        <v>149</v>
      </c>
      <c r="S805" s="244"/>
      <c r="T805" s="11"/>
    </row>
    <row r="806" spans="1:20" ht="12.75">
      <c r="A806" s="234"/>
      <c r="B806" s="247"/>
      <c r="C806" s="117"/>
      <c r="D806" s="117"/>
      <c r="E806" s="106"/>
      <c r="F806" s="8"/>
      <c r="G806" s="55" t="s">
        <v>13</v>
      </c>
      <c r="H806" s="56">
        <f aca="true" t="shared" si="215" ref="H806:H816">J806+L806+N806+P806</f>
        <v>0</v>
      </c>
      <c r="I806" s="56">
        <f aca="true" t="shared" si="216" ref="I806:I816">K806+M806+O806+Q806</f>
        <v>0</v>
      </c>
      <c r="J806" s="56">
        <v>0</v>
      </c>
      <c r="K806" s="56">
        <v>0</v>
      </c>
      <c r="L806" s="56">
        <v>0</v>
      </c>
      <c r="M806" s="56">
        <v>0</v>
      </c>
      <c r="N806" s="56">
        <v>0</v>
      </c>
      <c r="O806" s="56">
        <v>0</v>
      </c>
      <c r="P806" s="56">
        <v>0</v>
      </c>
      <c r="Q806" s="56">
        <v>0</v>
      </c>
      <c r="R806" s="244"/>
      <c r="S806" s="244"/>
      <c r="T806" s="11"/>
    </row>
    <row r="807" spans="1:20" ht="12.75">
      <c r="A807" s="234"/>
      <c r="B807" s="247"/>
      <c r="C807" s="117"/>
      <c r="D807" s="117"/>
      <c r="E807" s="106"/>
      <c r="F807" s="8"/>
      <c r="G807" s="55" t="s">
        <v>11</v>
      </c>
      <c r="H807" s="56">
        <f t="shared" si="215"/>
        <v>0</v>
      </c>
      <c r="I807" s="56">
        <f t="shared" si="216"/>
        <v>0</v>
      </c>
      <c r="J807" s="56">
        <v>0</v>
      </c>
      <c r="K807" s="56">
        <v>0</v>
      </c>
      <c r="L807" s="56">
        <v>0</v>
      </c>
      <c r="M807" s="56">
        <v>0</v>
      </c>
      <c r="N807" s="56">
        <v>0</v>
      </c>
      <c r="O807" s="56">
        <v>0</v>
      </c>
      <c r="P807" s="56">
        <v>0</v>
      </c>
      <c r="Q807" s="56">
        <v>0</v>
      </c>
      <c r="R807" s="244"/>
      <c r="S807" s="244"/>
      <c r="T807" s="11"/>
    </row>
    <row r="808" spans="1:20" ht="12.75">
      <c r="A808" s="234"/>
      <c r="B808" s="247"/>
      <c r="C808" s="117"/>
      <c r="D808" s="117"/>
      <c r="E808" s="106"/>
      <c r="F808" s="8"/>
      <c r="G808" s="55" t="s">
        <v>12</v>
      </c>
      <c r="H808" s="56">
        <f t="shared" si="215"/>
        <v>0</v>
      </c>
      <c r="I808" s="56">
        <f t="shared" si="216"/>
        <v>0</v>
      </c>
      <c r="J808" s="56">
        <v>0</v>
      </c>
      <c r="K808" s="56">
        <v>0</v>
      </c>
      <c r="L808" s="56">
        <v>0</v>
      </c>
      <c r="M808" s="56">
        <v>0</v>
      </c>
      <c r="N808" s="56">
        <v>0</v>
      </c>
      <c r="O808" s="56">
        <v>0</v>
      </c>
      <c r="P808" s="56">
        <v>0</v>
      </c>
      <c r="Q808" s="56">
        <v>0</v>
      </c>
      <c r="R808" s="244"/>
      <c r="S808" s="244"/>
      <c r="T808" s="11"/>
    </row>
    <row r="809" spans="1:20" ht="12.75">
      <c r="A809" s="234"/>
      <c r="B809" s="247"/>
      <c r="C809" s="117"/>
      <c r="D809" s="117"/>
      <c r="E809" s="106"/>
      <c r="F809" s="8"/>
      <c r="G809" s="55" t="s">
        <v>14</v>
      </c>
      <c r="H809" s="56">
        <f t="shared" si="215"/>
        <v>0</v>
      </c>
      <c r="I809" s="56">
        <f t="shared" si="216"/>
        <v>0</v>
      </c>
      <c r="J809" s="56">
        <v>0</v>
      </c>
      <c r="K809" s="56">
        <v>0</v>
      </c>
      <c r="L809" s="56">
        <v>0</v>
      </c>
      <c r="M809" s="56">
        <v>0</v>
      </c>
      <c r="N809" s="56">
        <v>0</v>
      </c>
      <c r="O809" s="56">
        <v>0</v>
      </c>
      <c r="P809" s="56">
        <v>0</v>
      </c>
      <c r="Q809" s="56">
        <v>0</v>
      </c>
      <c r="R809" s="244"/>
      <c r="S809" s="244"/>
      <c r="T809" s="11"/>
    </row>
    <row r="810" spans="1:20" ht="12.75">
      <c r="A810" s="234"/>
      <c r="B810" s="247"/>
      <c r="C810" s="117"/>
      <c r="D810" s="117"/>
      <c r="E810" s="106"/>
      <c r="F810" s="8"/>
      <c r="G810" s="55" t="s">
        <v>15</v>
      </c>
      <c r="H810" s="56">
        <f t="shared" si="215"/>
        <v>0</v>
      </c>
      <c r="I810" s="56">
        <f t="shared" si="216"/>
        <v>0</v>
      </c>
      <c r="J810" s="56">
        <v>0</v>
      </c>
      <c r="K810" s="56">
        <v>0</v>
      </c>
      <c r="L810" s="56">
        <v>0</v>
      </c>
      <c r="M810" s="56">
        <v>0</v>
      </c>
      <c r="N810" s="56">
        <v>0</v>
      </c>
      <c r="O810" s="56">
        <v>0</v>
      </c>
      <c r="P810" s="56">
        <v>0</v>
      </c>
      <c r="Q810" s="56">
        <v>0</v>
      </c>
      <c r="R810" s="244"/>
      <c r="S810" s="244"/>
      <c r="T810" s="11"/>
    </row>
    <row r="811" spans="1:20" ht="12.75">
      <c r="A811" s="234"/>
      <c r="B811" s="247"/>
      <c r="C811" s="117"/>
      <c r="D811" s="117"/>
      <c r="E811" s="106"/>
      <c r="F811" s="8"/>
      <c r="G811" s="55" t="s">
        <v>61</v>
      </c>
      <c r="H811" s="56">
        <f t="shared" si="215"/>
        <v>0</v>
      </c>
      <c r="I811" s="56">
        <f t="shared" si="216"/>
        <v>0</v>
      </c>
      <c r="J811" s="56">
        <v>0</v>
      </c>
      <c r="K811" s="56">
        <v>0</v>
      </c>
      <c r="L811" s="56">
        <v>0</v>
      </c>
      <c r="M811" s="56">
        <v>0</v>
      </c>
      <c r="N811" s="56">
        <v>0</v>
      </c>
      <c r="O811" s="56">
        <v>0</v>
      </c>
      <c r="P811" s="56">
        <v>0</v>
      </c>
      <c r="Q811" s="56">
        <v>0</v>
      </c>
      <c r="R811" s="244"/>
      <c r="S811" s="244"/>
      <c r="T811" s="11"/>
    </row>
    <row r="812" spans="1:20" ht="12.75">
      <c r="A812" s="234"/>
      <c r="B812" s="247"/>
      <c r="C812" s="113" t="s">
        <v>163</v>
      </c>
      <c r="D812" s="113" t="s">
        <v>164</v>
      </c>
      <c r="E812" s="105" t="s">
        <v>169</v>
      </c>
      <c r="F812" s="8"/>
      <c r="G812" s="135" t="s">
        <v>110</v>
      </c>
      <c r="H812" s="136">
        <f>K812</f>
        <v>602.626</v>
      </c>
      <c r="I812" s="136">
        <f>K812</f>
        <v>602.626</v>
      </c>
      <c r="J812" s="136">
        <f>K812</f>
        <v>602.626</v>
      </c>
      <c r="K812" s="136">
        <f>657.626-55</f>
        <v>602.626</v>
      </c>
      <c r="L812" s="56">
        <v>0</v>
      </c>
      <c r="M812" s="56">
        <v>0</v>
      </c>
      <c r="N812" s="56">
        <v>0</v>
      </c>
      <c r="O812" s="56">
        <v>0</v>
      </c>
      <c r="P812" s="56">
        <v>0</v>
      </c>
      <c r="Q812" s="56">
        <v>0</v>
      </c>
      <c r="R812" s="244"/>
      <c r="S812" s="244"/>
      <c r="T812" s="11"/>
    </row>
    <row r="813" spans="1:20" ht="12.75">
      <c r="A813" s="234"/>
      <c r="B813" s="247"/>
      <c r="C813" s="117"/>
      <c r="D813" s="117"/>
      <c r="E813" s="106"/>
      <c r="F813" s="8"/>
      <c r="G813" s="55" t="s">
        <v>111</v>
      </c>
      <c r="H813" s="56">
        <f t="shared" si="215"/>
        <v>0</v>
      </c>
      <c r="I813" s="56">
        <f t="shared" si="216"/>
        <v>0</v>
      </c>
      <c r="J813" s="56">
        <v>0</v>
      </c>
      <c r="K813" s="56">
        <v>0</v>
      </c>
      <c r="L813" s="56">
        <v>0</v>
      </c>
      <c r="M813" s="56">
        <v>0</v>
      </c>
      <c r="N813" s="56">
        <v>0</v>
      </c>
      <c r="O813" s="56">
        <v>0</v>
      </c>
      <c r="P813" s="56">
        <v>0</v>
      </c>
      <c r="Q813" s="56">
        <v>0</v>
      </c>
      <c r="R813" s="244"/>
      <c r="S813" s="244"/>
      <c r="T813" s="11"/>
    </row>
    <row r="814" spans="1:20" ht="12.75">
      <c r="A814" s="234"/>
      <c r="B814" s="247"/>
      <c r="C814" s="117"/>
      <c r="D814" s="117"/>
      <c r="E814" s="106"/>
      <c r="F814" s="8"/>
      <c r="G814" s="55" t="s">
        <v>112</v>
      </c>
      <c r="H814" s="56">
        <f t="shared" si="215"/>
        <v>0</v>
      </c>
      <c r="I814" s="56">
        <f t="shared" si="216"/>
        <v>0</v>
      </c>
      <c r="J814" s="56">
        <v>0</v>
      </c>
      <c r="K814" s="56">
        <v>0</v>
      </c>
      <c r="L814" s="56">
        <v>0</v>
      </c>
      <c r="M814" s="56">
        <v>0</v>
      </c>
      <c r="N814" s="56">
        <v>0</v>
      </c>
      <c r="O814" s="56">
        <v>0</v>
      </c>
      <c r="P814" s="56">
        <v>0</v>
      </c>
      <c r="Q814" s="56">
        <v>0</v>
      </c>
      <c r="R814" s="244"/>
      <c r="S814" s="244"/>
      <c r="T814" s="11"/>
    </row>
    <row r="815" spans="1:20" ht="12.75">
      <c r="A815" s="234"/>
      <c r="B815" s="247"/>
      <c r="C815" s="117"/>
      <c r="D815" s="117"/>
      <c r="E815" s="106"/>
      <c r="F815" s="8"/>
      <c r="G815" s="55" t="s">
        <v>113</v>
      </c>
      <c r="H815" s="56">
        <f t="shared" si="215"/>
        <v>0</v>
      </c>
      <c r="I815" s="56">
        <f t="shared" si="216"/>
        <v>0</v>
      </c>
      <c r="J815" s="56">
        <v>0</v>
      </c>
      <c r="K815" s="56">
        <v>0</v>
      </c>
      <c r="L815" s="56">
        <v>0</v>
      </c>
      <c r="M815" s="56">
        <v>0</v>
      </c>
      <c r="N815" s="56">
        <v>0</v>
      </c>
      <c r="O815" s="56">
        <v>0</v>
      </c>
      <c r="P815" s="56">
        <v>0</v>
      </c>
      <c r="Q815" s="56">
        <v>0</v>
      </c>
      <c r="R815" s="244"/>
      <c r="S815" s="244"/>
      <c r="T815" s="11"/>
    </row>
    <row r="816" spans="1:20" ht="12.75">
      <c r="A816" s="234"/>
      <c r="B816" s="248"/>
      <c r="C816" s="117"/>
      <c r="D816" s="117"/>
      <c r="E816" s="106"/>
      <c r="F816" s="8"/>
      <c r="G816" s="55" t="s">
        <v>72</v>
      </c>
      <c r="H816" s="56">
        <f t="shared" si="215"/>
        <v>0</v>
      </c>
      <c r="I816" s="56">
        <f t="shared" si="216"/>
        <v>0</v>
      </c>
      <c r="J816" s="56">
        <v>0</v>
      </c>
      <c r="K816" s="56">
        <v>0</v>
      </c>
      <c r="L816" s="56">
        <v>0</v>
      </c>
      <c r="M816" s="56">
        <v>0</v>
      </c>
      <c r="N816" s="56">
        <v>0</v>
      </c>
      <c r="O816" s="56">
        <v>0</v>
      </c>
      <c r="P816" s="56">
        <v>0</v>
      </c>
      <c r="Q816" s="56">
        <v>0</v>
      </c>
      <c r="R816" s="244"/>
      <c r="S816" s="244"/>
      <c r="T816" s="11"/>
    </row>
    <row r="817" spans="1:20" ht="12.75">
      <c r="A817" s="234">
        <v>65</v>
      </c>
      <c r="B817" s="246" t="s">
        <v>173</v>
      </c>
      <c r="C817" s="116"/>
      <c r="D817" s="116"/>
      <c r="E817" s="108"/>
      <c r="F817" s="8"/>
      <c r="G817" s="53" t="s">
        <v>9</v>
      </c>
      <c r="H817" s="56">
        <f>SUM(H818:H828)</f>
        <v>450</v>
      </c>
      <c r="I817" s="56">
        <f aca="true" t="shared" si="217" ref="I817:Q817">SUM(I818:I828)</f>
        <v>0</v>
      </c>
      <c r="J817" s="56">
        <f t="shared" si="217"/>
        <v>450</v>
      </c>
      <c r="K817" s="56">
        <f t="shared" si="217"/>
        <v>0</v>
      </c>
      <c r="L817" s="56">
        <f t="shared" si="217"/>
        <v>0</v>
      </c>
      <c r="M817" s="56">
        <f t="shared" si="217"/>
        <v>0</v>
      </c>
      <c r="N817" s="56">
        <f t="shared" si="217"/>
        <v>0</v>
      </c>
      <c r="O817" s="56">
        <f t="shared" si="217"/>
        <v>0</v>
      </c>
      <c r="P817" s="56">
        <f t="shared" si="217"/>
        <v>0</v>
      </c>
      <c r="Q817" s="56">
        <f t="shared" si="217"/>
        <v>0</v>
      </c>
      <c r="R817" s="244" t="s">
        <v>149</v>
      </c>
      <c r="S817" s="244"/>
      <c r="T817" s="11"/>
    </row>
    <row r="818" spans="1:20" ht="12.75">
      <c r="A818" s="234"/>
      <c r="B818" s="247"/>
      <c r="C818" s="117"/>
      <c r="D818" s="117"/>
      <c r="E818" s="108"/>
      <c r="F818" s="8"/>
      <c r="G818" s="55" t="s">
        <v>13</v>
      </c>
      <c r="H818" s="56">
        <f aca="true" t="shared" si="218" ref="H818:H823">J818+L818+N818+P818</f>
        <v>0</v>
      </c>
      <c r="I818" s="56">
        <f aca="true" t="shared" si="219" ref="I818:I823">K818+M818+O818+Q818</f>
        <v>0</v>
      </c>
      <c r="J818" s="56">
        <v>0</v>
      </c>
      <c r="K818" s="56">
        <v>0</v>
      </c>
      <c r="L818" s="56">
        <v>0</v>
      </c>
      <c r="M818" s="56">
        <v>0</v>
      </c>
      <c r="N818" s="56">
        <v>0</v>
      </c>
      <c r="O818" s="56">
        <v>0</v>
      </c>
      <c r="P818" s="56">
        <v>0</v>
      </c>
      <c r="Q818" s="56">
        <v>0</v>
      </c>
      <c r="R818" s="244"/>
      <c r="S818" s="244"/>
      <c r="T818" s="11"/>
    </row>
    <row r="819" spans="1:20" ht="12.75">
      <c r="A819" s="234"/>
      <c r="B819" s="247"/>
      <c r="C819" s="117"/>
      <c r="D819" s="117"/>
      <c r="E819" s="108"/>
      <c r="F819" s="8"/>
      <c r="G819" s="55" t="s">
        <v>11</v>
      </c>
      <c r="H819" s="56">
        <f t="shared" si="218"/>
        <v>0</v>
      </c>
      <c r="I819" s="56">
        <f t="shared" si="219"/>
        <v>0</v>
      </c>
      <c r="J819" s="56">
        <v>0</v>
      </c>
      <c r="K819" s="56">
        <v>0</v>
      </c>
      <c r="L819" s="56">
        <v>0</v>
      </c>
      <c r="M819" s="56">
        <v>0</v>
      </c>
      <c r="N819" s="56">
        <v>0</v>
      </c>
      <c r="O819" s="56">
        <v>0</v>
      </c>
      <c r="P819" s="56">
        <v>0</v>
      </c>
      <c r="Q819" s="56">
        <v>0</v>
      </c>
      <c r="R819" s="244"/>
      <c r="S819" s="244"/>
      <c r="T819" s="11"/>
    </row>
    <row r="820" spans="1:20" ht="12.75">
      <c r="A820" s="234"/>
      <c r="B820" s="247"/>
      <c r="C820" s="117"/>
      <c r="D820" s="117"/>
      <c r="E820" s="108"/>
      <c r="F820" s="8"/>
      <c r="G820" s="55" t="s">
        <v>12</v>
      </c>
      <c r="H820" s="56">
        <f t="shared" si="218"/>
        <v>0</v>
      </c>
      <c r="I820" s="56">
        <f t="shared" si="219"/>
        <v>0</v>
      </c>
      <c r="J820" s="56">
        <v>0</v>
      </c>
      <c r="K820" s="56">
        <v>0</v>
      </c>
      <c r="L820" s="56">
        <v>0</v>
      </c>
      <c r="M820" s="56">
        <v>0</v>
      </c>
      <c r="N820" s="56">
        <v>0</v>
      </c>
      <c r="O820" s="56">
        <v>0</v>
      </c>
      <c r="P820" s="56">
        <v>0</v>
      </c>
      <c r="Q820" s="56">
        <v>0</v>
      </c>
      <c r="R820" s="244"/>
      <c r="S820" s="244"/>
      <c r="T820" s="11"/>
    </row>
    <row r="821" spans="1:20" ht="12.75">
      <c r="A821" s="234"/>
      <c r="B821" s="247"/>
      <c r="C821" s="117"/>
      <c r="D821" s="117"/>
      <c r="E821" s="108"/>
      <c r="F821" s="8"/>
      <c r="G821" s="55" t="s">
        <v>14</v>
      </c>
      <c r="H821" s="56">
        <f t="shared" si="218"/>
        <v>0</v>
      </c>
      <c r="I821" s="56">
        <f t="shared" si="219"/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56">
        <v>0</v>
      </c>
      <c r="Q821" s="56">
        <v>0</v>
      </c>
      <c r="R821" s="244"/>
      <c r="S821" s="244"/>
      <c r="T821" s="11"/>
    </row>
    <row r="822" spans="1:20" ht="12.75">
      <c r="A822" s="234"/>
      <c r="B822" s="247"/>
      <c r="C822" s="117"/>
      <c r="D822" s="117"/>
      <c r="E822" s="108"/>
      <c r="F822" s="8"/>
      <c r="G822" s="55" t="s">
        <v>15</v>
      </c>
      <c r="H822" s="56">
        <f t="shared" si="218"/>
        <v>0</v>
      </c>
      <c r="I822" s="56">
        <f t="shared" si="219"/>
        <v>0</v>
      </c>
      <c r="J822" s="56">
        <v>0</v>
      </c>
      <c r="K822" s="56">
        <v>0</v>
      </c>
      <c r="L822" s="56">
        <v>0</v>
      </c>
      <c r="M822" s="56">
        <v>0</v>
      </c>
      <c r="N822" s="56">
        <v>0</v>
      </c>
      <c r="O822" s="56">
        <v>0</v>
      </c>
      <c r="P822" s="56">
        <v>0</v>
      </c>
      <c r="Q822" s="56">
        <v>0</v>
      </c>
      <c r="R822" s="244"/>
      <c r="S822" s="244"/>
      <c r="T822" s="11"/>
    </row>
    <row r="823" spans="1:20" ht="12.75">
      <c r="A823" s="234"/>
      <c r="B823" s="247"/>
      <c r="C823" s="117"/>
      <c r="D823" s="117"/>
      <c r="E823" s="108"/>
      <c r="F823" s="8"/>
      <c r="G823" s="55" t="s">
        <v>61</v>
      </c>
      <c r="H823" s="56">
        <f t="shared" si="218"/>
        <v>0</v>
      </c>
      <c r="I823" s="56">
        <f t="shared" si="219"/>
        <v>0</v>
      </c>
      <c r="J823" s="56">
        <v>0</v>
      </c>
      <c r="K823" s="56">
        <v>0</v>
      </c>
      <c r="L823" s="56">
        <v>0</v>
      </c>
      <c r="M823" s="56">
        <v>0</v>
      </c>
      <c r="N823" s="56">
        <v>0</v>
      </c>
      <c r="O823" s="56">
        <v>0</v>
      </c>
      <c r="P823" s="56">
        <v>0</v>
      </c>
      <c r="Q823" s="56">
        <v>0</v>
      </c>
      <c r="R823" s="244"/>
      <c r="S823" s="244"/>
      <c r="T823" s="11"/>
    </row>
    <row r="824" spans="1:20" ht="12.75">
      <c r="A824" s="234"/>
      <c r="B824" s="247"/>
      <c r="C824" s="113" t="s">
        <v>163</v>
      </c>
      <c r="D824" s="113" t="s">
        <v>164</v>
      </c>
      <c r="E824" s="107" t="s">
        <v>169</v>
      </c>
      <c r="F824" s="8"/>
      <c r="G824" s="55" t="s">
        <v>110</v>
      </c>
      <c r="H824" s="56">
        <v>0</v>
      </c>
      <c r="I824" s="56">
        <v>0</v>
      </c>
      <c r="J824" s="56">
        <v>0</v>
      </c>
      <c r="K824" s="56">
        <v>0</v>
      </c>
      <c r="L824" s="56">
        <v>0</v>
      </c>
      <c r="M824" s="56">
        <v>0</v>
      </c>
      <c r="N824" s="56">
        <v>0</v>
      </c>
      <c r="O824" s="56">
        <v>0</v>
      </c>
      <c r="P824" s="56">
        <v>0</v>
      </c>
      <c r="Q824" s="56">
        <v>0</v>
      </c>
      <c r="R824" s="244"/>
      <c r="S824" s="244"/>
      <c r="T824" s="11"/>
    </row>
    <row r="825" spans="1:20" ht="12.75">
      <c r="A825" s="234"/>
      <c r="B825" s="247"/>
      <c r="C825" s="117"/>
      <c r="D825" s="117"/>
      <c r="E825" s="108"/>
      <c r="F825" s="8"/>
      <c r="G825" s="120" t="s">
        <v>111</v>
      </c>
      <c r="H825" s="121">
        <f aca="true" t="shared" si="220" ref="H825:I828">J825+L825+N825+P825</f>
        <v>150</v>
      </c>
      <c r="I825" s="121">
        <f t="shared" si="220"/>
        <v>0</v>
      </c>
      <c r="J825" s="121">
        <v>150</v>
      </c>
      <c r="K825" s="121">
        <v>0</v>
      </c>
      <c r="L825" s="56">
        <v>0</v>
      </c>
      <c r="M825" s="56">
        <v>0</v>
      </c>
      <c r="N825" s="56">
        <v>0</v>
      </c>
      <c r="O825" s="56">
        <v>0</v>
      </c>
      <c r="P825" s="56">
        <v>0</v>
      </c>
      <c r="Q825" s="56">
        <v>0</v>
      </c>
      <c r="R825" s="244"/>
      <c r="S825" s="244"/>
      <c r="T825" s="11"/>
    </row>
    <row r="826" spans="1:20" ht="12.75">
      <c r="A826" s="234"/>
      <c r="B826" s="247"/>
      <c r="C826" s="117"/>
      <c r="D826" s="117"/>
      <c r="E826" s="108"/>
      <c r="F826" s="8"/>
      <c r="G826" s="120" t="s">
        <v>112</v>
      </c>
      <c r="H826" s="121">
        <f t="shared" si="220"/>
        <v>150</v>
      </c>
      <c r="I826" s="121">
        <f t="shared" si="220"/>
        <v>0</v>
      </c>
      <c r="J826" s="121">
        <v>150</v>
      </c>
      <c r="K826" s="121">
        <v>0</v>
      </c>
      <c r="L826" s="56">
        <v>0</v>
      </c>
      <c r="M826" s="56">
        <v>0</v>
      </c>
      <c r="N826" s="56">
        <v>0</v>
      </c>
      <c r="O826" s="56">
        <v>0</v>
      </c>
      <c r="P826" s="56">
        <v>0</v>
      </c>
      <c r="Q826" s="56">
        <v>0</v>
      </c>
      <c r="R826" s="244"/>
      <c r="S826" s="244"/>
      <c r="T826" s="11"/>
    </row>
    <row r="827" spans="1:20" ht="12.75">
      <c r="A827" s="234"/>
      <c r="B827" s="247"/>
      <c r="C827" s="117"/>
      <c r="D827" s="117"/>
      <c r="E827" s="108"/>
      <c r="F827" s="8"/>
      <c r="G827" s="120" t="s">
        <v>113</v>
      </c>
      <c r="H827" s="121">
        <f t="shared" si="220"/>
        <v>150</v>
      </c>
      <c r="I827" s="121">
        <f t="shared" si="220"/>
        <v>0</v>
      </c>
      <c r="J827" s="121">
        <v>150</v>
      </c>
      <c r="K827" s="121">
        <v>0</v>
      </c>
      <c r="L827" s="56">
        <v>0</v>
      </c>
      <c r="M827" s="56">
        <v>0</v>
      </c>
      <c r="N827" s="56">
        <v>0</v>
      </c>
      <c r="O827" s="56">
        <v>0</v>
      </c>
      <c r="P827" s="56">
        <v>0</v>
      </c>
      <c r="Q827" s="56">
        <v>0</v>
      </c>
      <c r="R827" s="244"/>
      <c r="S827" s="244"/>
      <c r="T827" s="11"/>
    </row>
    <row r="828" spans="1:20" ht="12.75">
      <c r="A828" s="234"/>
      <c r="B828" s="248"/>
      <c r="C828" s="117"/>
      <c r="D828" s="117"/>
      <c r="E828" s="108"/>
      <c r="F828" s="8"/>
      <c r="G828" s="55" t="s">
        <v>72</v>
      </c>
      <c r="H828" s="56">
        <f t="shared" si="220"/>
        <v>0</v>
      </c>
      <c r="I828" s="56">
        <f t="shared" si="220"/>
        <v>0</v>
      </c>
      <c r="J828" s="56">
        <v>0</v>
      </c>
      <c r="K828" s="56">
        <v>0</v>
      </c>
      <c r="L828" s="56">
        <v>0</v>
      </c>
      <c r="M828" s="56">
        <v>0</v>
      </c>
      <c r="N828" s="56">
        <v>0</v>
      </c>
      <c r="O828" s="56">
        <v>0</v>
      </c>
      <c r="P828" s="56">
        <v>0</v>
      </c>
      <c r="Q828" s="56">
        <v>0</v>
      </c>
      <c r="R828" s="244"/>
      <c r="S828" s="244"/>
      <c r="T828" s="11"/>
    </row>
    <row r="829" spans="1:20" ht="12.75">
      <c r="A829" s="234">
        <v>66</v>
      </c>
      <c r="B829" s="246" t="s">
        <v>175</v>
      </c>
      <c r="C829" s="116"/>
      <c r="D829" s="116"/>
      <c r="E829" s="108"/>
      <c r="F829" s="8"/>
      <c r="G829" s="53" t="s">
        <v>9</v>
      </c>
      <c r="H829" s="56">
        <f>SUM(H830:H840)</f>
        <v>100</v>
      </c>
      <c r="I829" s="56">
        <f aca="true" t="shared" si="221" ref="I829:Q829">SUM(I830:I840)</f>
        <v>0</v>
      </c>
      <c r="J829" s="56">
        <f t="shared" si="221"/>
        <v>100</v>
      </c>
      <c r="K829" s="56">
        <f t="shared" si="221"/>
        <v>0</v>
      </c>
      <c r="L829" s="56">
        <f t="shared" si="221"/>
        <v>0</v>
      </c>
      <c r="M829" s="56">
        <f t="shared" si="221"/>
        <v>0</v>
      </c>
      <c r="N829" s="56">
        <f t="shared" si="221"/>
        <v>0</v>
      </c>
      <c r="O829" s="56">
        <f t="shared" si="221"/>
        <v>0</v>
      </c>
      <c r="P829" s="56">
        <f t="shared" si="221"/>
        <v>0</v>
      </c>
      <c r="Q829" s="56">
        <f t="shared" si="221"/>
        <v>0</v>
      </c>
      <c r="R829" s="244" t="s">
        <v>149</v>
      </c>
      <c r="S829" s="244"/>
      <c r="T829" s="11"/>
    </row>
    <row r="830" spans="1:20" ht="12.75">
      <c r="A830" s="234"/>
      <c r="B830" s="247"/>
      <c r="C830" s="117"/>
      <c r="D830" s="117"/>
      <c r="E830" s="108"/>
      <c r="F830" s="8"/>
      <c r="G830" s="55" t="s">
        <v>13</v>
      </c>
      <c r="H830" s="56">
        <f aca="true" t="shared" si="222" ref="H830:H835">J830+L830+N830+P830</f>
        <v>0</v>
      </c>
      <c r="I830" s="56">
        <f aca="true" t="shared" si="223" ref="I830:I835">K830+M830+O830+Q830</f>
        <v>0</v>
      </c>
      <c r="J830" s="56">
        <v>0</v>
      </c>
      <c r="K830" s="56">
        <v>0</v>
      </c>
      <c r="L830" s="56">
        <v>0</v>
      </c>
      <c r="M830" s="56">
        <v>0</v>
      </c>
      <c r="N830" s="56">
        <v>0</v>
      </c>
      <c r="O830" s="56">
        <v>0</v>
      </c>
      <c r="P830" s="56">
        <v>0</v>
      </c>
      <c r="Q830" s="56">
        <v>0</v>
      </c>
      <c r="R830" s="244"/>
      <c r="S830" s="244"/>
      <c r="T830" s="11"/>
    </row>
    <row r="831" spans="1:20" ht="12.75">
      <c r="A831" s="234"/>
      <c r="B831" s="247"/>
      <c r="C831" s="117"/>
      <c r="D831" s="117"/>
      <c r="E831" s="108"/>
      <c r="F831" s="8"/>
      <c r="G831" s="55" t="s">
        <v>11</v>
      </c>
      <c r="H831" s="56">
        <f t="shared" si="222"/>
        <v>0</v>
      </c>
      <c r="I831" s="56">
        <f t="shared" si="223"/>
        <v>0</v>
      </c>
      <c r="J831" s="56">
        <v>0</v>
      </c>
      <c r="K831" s="56">
        <v>0</v>
      </c>
      <c r="L831" s="56">
        <v>0</v>
      </c>
      <c r="M831" s="56">
        <v>0</v>
      </c>
      <c r="N831" s="56">
        <v>0</v>
      </c>
      <c r="O831" s="56">
        <v>0</v>
      </c>
      <c r="P831" s="56">
        <v>0</v>
      </c>
      <c r="Q831" s="56">
        <v>0</v>
      </c>
      <c r="R831" s="244"/>
      <c r="S831" s="244"/>
      <c r="T831" s="11"/>
    </row>
    <row r="832" spans="1:20" ht="12.75">
      <c r="A832" s="234"/>
      <c r="B832" s="247"/>
      <c r="C832" s="117"/>
      <c r="D832" s="117"/>
      <c r="E832" s="108"/>
      <c r="F832" s="8"/>
      <c r="G832" s="55" t="s">
        <v>12</v>
      </c>
      <c r="H832" s="56">
        <f t="shared" si="222"/>
        <v>0</v>
      </c>
      <c r="I832" s="56">
        <f t="shared" si="223"/>
        <v>0</v>
      </c>
      <c r="J832" s="56">
        <v>0</v>
      </c>
      <c r="K832" s="56">
        <v>0</v>
      </c>
      <c r="L832" s="56">
        <v>0</v>
      </c>
      <c r="M832" s="56">
        <v>0</v>
      </c>
      <c r="N832" s="56">
        <v>0</v>
      </c>
      <c r="O832" s="56">
        <v>0</v>
      </c>
      <c r="P832" s="56">
        <v>0</v>
      </c>
      <c r="Q832" s="56">
        <v>0</v>
      </c>
      <c r="R832" s="244"/>
      <c r="S832" s="244"/>
      <c r="T832" s="11"/>
    </row>
    <row r="833" spans="1:20" ht="12.75">
      <c r="A833" s="234"/>
      <c r="B833" s="247"/>
      <c r="C833" s="117"/>
      <c r="D833" s="117"/>
      <c r="E833" s="108"/>
      <c r="F833" s="8"/>
      <c r="G833" s="55" t="s">
        <v>14</v>
      </c>
      <c r="H833" s="56">
        <f t="shared" si="222"/>
        <v>0</v>
      </c>
      <c r="I833" s="56">
        <f t="shared" si="223"/>
        <v>0</v>
      </c>
      <c r="J833" s="56">
        <v>0</v>
      </c>
      <c r="K833" s="56">
        <v>0</v>
      </c>
      <c r="L833" s="56">
        <v>0</v>
      </c>
      <c r="M833" s="56">
        <v>0</v>
      </c>
      <c r="N833" s="56">
        <v>0</v>
      </c>
      <c r="O833" s="56">
        <v>0</v>
      </c>
      <c r="P833" s="56">
        <v>0</v>
      </c>
      <c r="Q833" s="56">
        <v>0</v>
      </c>
      <c r="R833" s="244"/>
      <c r="S833" s="244"/>
      <c r="T833" s="11"/>
    </row>
    <row r="834" spans="1:21" ht="12.75">
      <c r="A834" s="234"/>
      <c r="B834" s="247"/>
      <c r="C834" s="117"/>
      <c r="D834" s="117"/>
      <c r="E834" s="108"/>
      <c r="F834" s="8"/>
      <c r="G834" s="55" t="s">
        <v>15</v>
      </c>
      <c r="H834" s="56">
        <f t="shared" si="222"/>
        <v>0</v>
      </c>
      <c r="I834" s="56">
        <f t="shared" si="223"/>
        <v>0</v>
      </c>
      <c r="J834" s="56">
        <v>0</v>
      </c>
      <c r="K834" s="56">
        <v>0</v>
      </c>
      <c r="L834" s="56">
        <v>0</v>
      </c>
      <c r="M834" s="56">
        <v>0</v>
      </c>
      <c r="N834" s="56">
        <v>0</v>
      </c>
      <c r="O834" s="56">
        <v>0</v>
      </c>
      <c r="P834" s="56">
        <v>0</v>
      </c>
      <c r="Q834" s="56">
        <v>0</v>
      </c>
      <c r="R834" s="244"/>
      <c r="S834" s="244"/>
      <c r="T834" s="11"/>
      <c r="U834" s="11"/>
    </row>
    <row r="835" spans="1:20" ht="12.75">
      <c r="A835" s="234"/>
      <c r="B835" s="247"/>
      <c r="C835" s="117"/>
      <c r="D835" s="117"/>
      <c r="E835" s="108"/>
      <c r="F835" s="8"/>
      <c r="G835" s="55" t="s">
        <v>61</v>
      </c>
      <c r="H835" s="56">
        <f t="shared" si="222"/>
        <v>0</v>
      </c>
      <c r="I835" s="56">
        <f t="shared" si="223"/>
        <v>0</v>
      </c>
      <c r="J835" s="56">
        <v>0</v>
      </c>
      <c r="K835" s="56">
        <v>0</v>
      </c>
      <c r="L835" s="56">
        <v>0</v>
      </c>
      <c r="M835" s="56">
        <v>0</v>
      </c>
      <c r="N835" s="56">
        <v>0</v>
      </c>
      <c r="O835" s="56">
        <v>0</v>
      </c>
      <c r="P835" s="56">
        <v>0</v>
      </c>
      <c r="Q835" s="56">
        <v>0</v>
      </c>
      <c r="R835" s="244"/>
      <c r="S835" s="244"/>
      <c r="T835" s="11"/>
    </row>
    <row r="836" spans="1:20" ht="12.75">
      <c r="A836" s="234"/>
      <c r="B836" s="247"/>
      <c r="C836" s="113" t="s">
        <v>163</v>
      </c>
      <c r="D836" s="113" t="s">
        <v>164</v>
      </c>
      <c r="E836" s="107" t="s">
        <v>169</v>
      </c>
      <c r="F836" s="8"/>
      <c r="G836" s="55" t="s">
        <v>110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56">
        <v>0</v>
      </c>
      <c r="O836" s="56">
        <v>0</v>
      </c>
      <c r="P836" s="56">
        <v>0</v>
      </c>
      <c r="Q836" s="56">
        <v>0</v>
      </c>
      <c r="R836" s="244"/>
      <c r="S836" s="244"/>
      <c r="T836" s="11"/>
    </row>
    <row r="837" spans="1:20" ht="12.75">
      <c r="A837" s="234"/>
      <c r="B837" s="247"/>
      <c r="C837" s="117"/>
      <c r="D837" s="117"/>
      <c r="E837" s="108"/>
      <c r="F837" s="8"/>
      <c r="G837" s="120" t="s">
        <v>111</v>
      </c>
      <c r="H837" s="121">
        <f aca="true" t="shared" si="224" ref="H837:I840">J837+L837+N837+P837</f>
        <v>100</v>
      </c>
      <c r="I837" s="121">
        <f t="shared" si="224"/>
        <v>0</v>
      </c>
      <c r="J837" s="121">
        <v>100</v>
      </c>
      <c r="K837" s="121">
        <v>0</v>
      </c>
      <c r="L837" s="56">
        <v>0</v>
      </c>
      <c r="M837" s="56">
        <v>0</v>
      </c>
      <c r="N837" s="56">
        <v>0</v>
      </c>
      <c r="O837" s="56">
        <v>0</v>
      </c>
      <c r="P837" s="56">
        <v>0</v>
      </c>
      <c r="Q837" s="56">
        <v>0</v>
      </c>
      <c r="R837" s="244"/>
      <c r="S837" s="244"/>
      <c r="T837" s="11"/>
    </row>
    <row r="838" spans="1:20" ht="12.75">
      <c r="A838" s="234"/>
      <c r="B838" s="247"/>
      <c r="C838" s="117"/>
      <c r="D838" s="117"/>
      <c r="E838" s="108"/>
      <c r="F838" s="8"/>
      <c r="G838" s="120" t="s">
        <v>112</v>
      </c>
      <c r="H838" s="121">
        <f t="shared" si="224"/>
        <v>0</v>
      </c>
      <c r="I838" s="121">
        <f t="shared" si="224"/>
        <v>0</v>
      </c>
      <c r="J838" s="121">
        <v>0</v>
      </c>
      <c r="K838" s="121">
        <v>0</v>
      </c>
      <c r="L838" s="56">
        <v>0</v>
      </c>
      <c r="M838" s="56">
        <v>0</v>
      </c>
      <c r="N838" s="56">
        <v>0</v>
      </c>
      <c r="O838" s="56">
        <v>0</v>
      </c>
      <c r="P838" s="56">
        <v>0</v>
      </c>
      <c r="Q838" s="56">
        <v>0</v>
      </c>
      <c r="R838" s="244"/>
      <c r="S838" s="244"/>
      <c r="T838" s="11"/>
    </row>
    <row r="839" spans="1:20" ht="12.75">
      <c r="A839" s="234"/>
      <c r="B839" s="247"/>
      <c r="C839" s="117"/>
      <c r="D839" s="117"/>
      <c r="E839" s="108"/>
      <c r="F839" s="8"/>
      <c r="G839" s="120" t="s">
        <v>113</v>
      </c>
      <c r="H839" s="121">
        <f t="shared" si="224"/>
        <v>0</v>
      </c>
      <c r="I839" s="121">
        <f t="shared" si="224"/>
        <v>0</v>
      </c>
      <c r="J839" s="121">
        <v>0</v>
      </c>
      <c r="K839" s="121">
        <v>0</v>
      </c>
      <c r="L839" s="56">
        <v>0</v>
      </c>
      <c r="M839" s="56">
        <v>0</v>
      </c>
      <c r="N839" s="56">
        <v>0</v>
      </c>
      <c r="O839" s="56">
        <v>0</v>
      </c>
      <c r="P839" s="56">
        <v>0</v>
      </c>
      <c r="Q839" s="56">
        <v>0</v>
      </c>
      <c r="R839" s="244"/>
      <c r="S839" s="244"/>
      <c r="T839" s="11"/>
    </row>
    <row r="840" spans="1:20" ht="12.75">
      <c r="A840" s="234"/>
      <c r="B840" s="248"/>
      <c r="C840" s="117"/>
      <c r="D840" s="117"/>
      <c r="E840" s="108"/>
      <c r="F840" s="8"/>
      <c r="G840" s="55" t="s">
        <v>72</v>
      </c>
      <c r="H840" s="56">
        <f t="shared" si="224"/>
        <v>0</v>
      </c>
      <c r="I840" s="56">
        <f t="shared" si="224"/>
        <v>0</v>
      </c>
      <c r="J840" s="56">
        <v>0</v>
      </c>
      <c r="K840" s="56">
        <v>0</v>
      </c>
      <c r="L840" s="56">
        <v>0</v>
      </c>
      <c r="M840" s="56">
        <v>0</v>
      </c>
      <c r="N840" s="56">
        <v>0</v>
      </c>
      <c r="O840" s="56">
        <v>0</v>
      </c>
      <c r="P840" s="56">
        <v>0</v>
      </c>
      <c r="Q840" s="56">
        <v>0</v>
      </c>
      <c r="R840" s="244"/>
      <c r="S840" s="244"/>
      <c r="T840" s="11"/>
    </row>
    <row r="841" spans="1:20" ht="12.75">
      <c r="A841" s="234">
        <v>67</v>
      </c>
      <c r="B841" s="246" t="s">
        <v>174</v>
      </c>
      <c r="C841" s="116"/>
      <c r="D841" s="116"/>
      <c r="E841" s="108"/>
      <c r="F841" s="8"/>
      <c r="G841" s="53" t="s">
        <v>9</v>
      </c>
      <c r="H841" s="56">
        <f>SUM(H842:H852)</f>
        <v>29980.199999999997</v>
      </c>
      <c r="I841" s="56">
        <f aca="true" t="shared" si="225" ref="I841:Q841">SUM(I842:I852)</f>
        <v>0</v>
      </c>
      <c r="J841" s="56">
        <f t="shared" si="225"/>
        <v>29980.199999999997</v>
      </c>
      <c r="K841" s="56">
        <f t="shared" si="225"/>
        <v>0</v>
      </c>
      <c r="L841" s="56">
        <f t="shared" si="225"/>
        <v>0</v>
      </c>
      <c r="M841" s="56">
        <f t="shared" si="225"/>
        <v>0</v>
      </c>
      <c r="N841" s="56">
        <f t="shared" si="225"/>
        <v>0</v>
      </c>
      <c r="O841" s="56">
        <f t="shared" si="225"/>
        <v>0</v>
      </c>
      <c r="P841" s="56">
        <f t="shared" si="225"/>
        <v>0</v>
      </c>
      <c r="Q841" s="56">
        <f t="shared" si="225"/>
        <v>0</v>
      </c>
      <c r="R841" s="244" t="s">
        <v>149</v>
      </c>
      <c r="S841" s="244"/>
      <c r="T841" s="11"/>
    </row>
    <row r="842" spans="1:20" ht="12.75">
      <c r="A842" s="234"/>
      <c r="B842" s="247"/>
      <c r="C842" s="117"/>
      <c r="D842" s="117"/>
      <c r="E842" s="108"/>
      <c r="F842" s="8"/>
      <c r="G842" s="55" t="s">
        <v>13</v>
      </c>
      <c r="H842" s="56">
        <f aca="true" t="shared" si="226" ref="H842:H847">J842+L842+N842+P842</f>
        <v>0</v>
      </c>
      <c r="I842" s="56">
        <f aca="true" t="shared" si="227" ref="I842:I847">K842+M842+O842+Q842</f>
        <v>0</v>
      </c>
      <c r="J842" s="56">
        <v>0</v>
      </c>
      <c r="K842" s="56">
        <v>0</v>
      </c>
      <c r="L842" s="56">
        <v>0</v>
      </c>
      <c r="M842" s="56">
        <v>0</v>
      </c>
      <c r="N842" s="56">
        <v>0</v>
      </c>
      <c r="O842" s="56">
        <v>0</v>
      </c>
      <c r="P842" s="56">
        <v>0</v>
      </c>
      <c r="Q842" s="56">
        <v>0</v>
      </c>
      <c r="R842" s="244"/>
      <c r="S842" s="244"/>
      <c r="T842" s="11"/>
    </row>
    <row r="843" spans="1:20" ht="12.75">
      <c r="A843" s="234"/>
      <c r="B843" s="247"/>
      <c r="C843" s="117"/>
      <c r="D843" s="117"/>
      <c r="E843" s="108"/>
      <c r="F843" s="8"/>
      <c r="G843" s="55" t="s">
        <v>11</v>
      </c>
      <c r="H843" s="56">
        <f t="shared" si="226"/>
        <v>0</v>
      </c>
      <c r="I843" s="56">
        <f t="shared" si="227"/>
        <v>0</v>
      </c>
      <c r="J843" s="56">
        <v>0</v>
      </c>
      <c r="K843" s="56">
        <v>0</v>
      </c>
      <c r="L843" s="56">
        <v>0</v>
      </c>
      <c r="M843" s="56">
        <v>0</v>
      </c>
      <c r="N843" s="56">
        <v>0</v>
      </c>
      <c r="O843" s="56">
        <v>0</v>
      </c>
      <c r="P843" s="56">
        <v>0</v>
      </c>
      <c r="Q843" s="56">
        <v>0</v>
      </c>
      <c r="R843" s="244"/>
      <c r="S843" s="244"/>
      <c r="T843" s="11"/>
    </row>
    <row r="844" spans="1:20" ht="12.75">
      <c r="A844" s="234"/>
      <c r="B844" s="247"/>
      <c r="C844" s="117"/>
      <c r="D844" s="117"/>
      <c r="E844" s="108"/>
      <c r="F844" s="8"/>
      <c r="G844" s="55" t="s">
        <v>12</v>
      </c>
      <c r="H844" s="56">
        <f t="shared" si="226"/>
        <v>0</v>
      </c>
      <c r="I844" s="56">
        <f t="shared" si="227"/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56">
        <v>0</v>
      </c>
      <c r="Q844" s="56">
        <v>0</v>
      </c>
      <c r="R844" s="244"/>
      <c r="S844" s="244"/>
      <c r="T844" s="11"/>
    </row>
    <row r="845" spans="1:20" ht="12.75">
      <c r="A845" s="234"/>
      <c r="B845" s="247"/>
      <c r="C845" s="117"/>
      <c r="D845" s="117"/>
      <c r="E845" s="108"/>
      <c r="F845" s="8"/>
      <c r="G845" s="55" t="s">
        <v>14</v>
      </c>
      <c r="H845" s="56">
        <f t="shared" si="226"/>
        <v>0</v>
      </c>
      <c r="I845" s="56">
        <f t="shared" si="227"/>
        <v>0</v>
      </c>
      <c r="J845" s="56">
        <v>0</v>
      </c>
      <c r="K845" s="56">
        <v>0</v>
      </c>
      <c r="L845" s="56">
        <v>0</v>
      </c>
      <c r="M845" s="56">
        <v>0</v>
      </c>
      <c r="N845" s="56">
        <v>0</v>
      </c>
      <c r="O845" s="56">
        <v>0</v>
      </c>
      <c r="P845" s="56">
        <v>0</v>
      </c>
      <c r="Q845" s="56">
        <v>0</v>
      </c>
      <c r="R845" s="244"/>
      <c r="S845" s="244"/>
      <c r="T845" s="11"/>
    </row>
    <row r="846" spans="1:20" ht="12.75">
      <c r="A846" s="234"/>
      <c r="B846" s="247"/>
      <c r="C846" s="117"/>
      <c r="D846" s="117"/>
      <c r="E846" s="108"/>
      <c r="F846" s="8"/>
      <c r="G846" s="55" t="s">
        <v>15</v>
      </c>
      <c r="H846" s="56">
        <f t="shared" si="226"/>
        <v>0</v>
      </c>
      <c r="I846" s="56">
        <f t="shared" si="227"/>
        <v>0</v>
      </c>
      <c r="J846" s="56">
        <v>0</v>
      </c>
      <c r="K846" s="56">
        <v>0</v>
      </c>
      <c r="L846" s="56">
        <v>0</v>
      </c>
      <c r="M846" s="56">
        <v>0</v>
      </c>
      <c r="N846" s="56">
        <v>0</v>
      </c>
      <c r="O846" s="56">
        <v>0</v>
      </c>
      <c r="P846" s="56">
        <v>0</v>
      </c>
      <c r="Q846" s="56">
        <v>0</v>
      </c>
      <c r="R846" s="244"/>
      <c r="S846" s="244"/>
      <c r="T846" s="11"/>
    </row>
    <row r="847" spans="1:20" ht="12.75">
      <c r="A847" s="234"/>
      <c r="B847" s="247"/>
      <c r="C847" s="117"/>
      <c r="D847" s="117"/>
      <c r="E847" s="108"/>
      <c r="F847" s="8"/>
      <c r="G847" s="55" t="s">
        <v>61</v>
      </c>
      <c r="H847" s="56">
        <f t="shared" si="226"/>
        <v>0</v>
      </c>
      <c r="I847" s="56">
        <f t="shared" si="227"/>
        <v>0</v>
      </c>
      <c r="J847" s="56">
        <v>0</v>
      </c>
      <c r="K847" s="56">
        <v>0</v>
      </c>
      <c r="L847" s="56">
        <v>0</v>
      </c>
      <c r="M847" s="56">
        <v>0</v>
      </c>
      <c r="N847" s="56">
        <v>0</v>
      </c>
      <c r="O847" s="56">
        <v>0</v>
      </c>
      <c r="P847" s="56">
        <v>0</v>
      </c>
      <c r="Q847" s="56">
        <v>0</v>
      </c>
      <c r="R847" s="244"/>
      <c r="S847" s="244"/>
      <c r="T847" s="11"/>
    </row>
    <row r="848" spans="1:20" ht="12.75">
      <c r="A848" s="234"/>
      <c r="B848" s="247"/>
      <c r="C848" s="113" t="s">
        <v>163</v>
      </c>
      <c r="D848" s="113" t="s">
        <v>164</v>
      </c>
      <c r="E848" s="107" t="s">
        <v>169</v>
      </c>
      <c r="F848" s="8"/>
      <c r="G848" s="55" t="s">
        <v>110</v>
      </c>
      <c r="H848" s="56">
        <v>0</v>
      </c>
      <c r="I848" s="56">
        <v>0</v>
      </c>
      <c r="J848" s="56">
        <v>0</v>
      </c>
      <c r="K848" s="56">
        <v>0</v>
      </c>
      <c r="L848" s="56">
        <v>0</v>
      </c>
      <c r="M848" s="56">
        <v>0</v>
      </c>
      <c r="N848" s="56">
        <v>0</v>
      </c>
      <c r="O848" s="56">
        <v>0</v>
      </c>
      <c r="P848" s="56">
        <v>0</v>
      </c>
      <c r="Q848" s="56">
        <v>0</v>
      </c>
      <c r="R848" s="244"/>
      <c r="S848" s="244"/>
      <c r="T848" s="11"/>
    </row>
    <row r="849" spans="1:20" ht="12.75">
      <c r="A849" s="234"/>
      <c r="B849" s="247"/>
      <c r="C849" s="117"/>
      <c r="D849" s="117"/>
      <c r="E849" s="108"/>
      <c r="F849" s="8"/>
      <c r="G849" s="120" t="s">
        <v>111</v>
      </c>
      <c r="H849" s="121">
        <f aca="true" t="shared" si="228" ref="H849:I852">J849+L849+N849+P849</f>
        <v>9993.4</v>
      </c>
      <c r="I849" s="121">
        <f t="shared" si="228"/>
        <v>0</v>
      </c>
      <c r="J849" s="121">
        <v>9993.4</v>
      </c>
      <c r="K849" s="121">
        <v>0</v>
      </c>
      <c r="L849" s="56">
        <v>0</v>
      </c>
      <c r="M849" s="56">
        <v>0</v>
      </c>
      <c r="N849" s="56">
        <v>0</v>
      </c>
      <c r="O849" s="56">
        <v>0</v>
      </c>
      <c r="P849" s="56">
        <v>0</v>
      </c>
      <c r="Q849" s="56">
        <v>0</v>
      </c>
      <c r="R849" s="244"/>
      <c r="S849" s="244"/>
      <c r="T849" s="11"/>
    </row>
    <row r="850" spans="1:20" ht="12.75">
      <c r="A850" s="234"/>
      <c r="B850" s="247"/>
      <c r="C850" s="117"/>
      <c r="D850" s="117"/>
      <c r="E850" s="108"/>
      <c r="F850" s="8"/>
      <c r="G850" s="120" t="s">
        <v>112</v>
      </c>
      <c r="H850" s="121">
        <f t="shared" si="228"/>
        <v>9993.4</v>
      </c>
      <c r="I850" s="121">
        <f t="shared" si="228"/>
        <v>0</v>
      </c>
      <c r="J850" s="121">
        <v>9993.4</v>
      </c>
      <c r="K850" s="121">
        <v>0</v>
      </c>
      <c r="L850" s="56">
        <v>0</v>
      </c>
      <c r="M850" s="56">
        <v>0</v>
      </c>
      <c r="N850" s="56">
        <v>0</v>
      </c>
      <c r="O850" s="56">
        <v>0</v>
      </c>
      <c r="P850" s="56">
        <v>0</v>
      </c>
      <c r="Q850" s="56">
        <v>0</v>
      </c>
      <c r="R850" s="244"/>
      <c r="S850" s="244"/>
      <c r="T850" s="11"/>
    </row>
    <row r="851" spans="1:20" ht="12.75">
      <c r="A851" s="234"/>
      <c r="B851" s="247"/>
      <c r="C851" s="117"/>
      <c r="D851" s="117"/>
      <c r="E851" s="108"/>
      <c r="F851" s="8"/>
      <c r="G851" s="120" t="s">
        <v>113</v>
      </c>
      <c r="H851" s="121">
        <f t="shared" si="228"/>
        <v>9993.4</v>
      </c>
      <c r="I851" s="121">
        <f t="shared" si="228"/>
        <v>0</v>
      </c>
      <c r="J851" s="121">
        <v>9993.4</v>
      </c>
      <c r="K851" s="121">
        <v>0</v>
      </c>
      <c r="L851" s="56">
        <v>0</v>
      </c>
      <c r="M851" s="56">
        <v>0</v>
      </c>
      <c r="N851" s="56">
        <v>0</v>
      </c>
      <c r="O851" s="56">
        <v>0</v>
      </c>
      <c r="P851" s="56">
        <v>0</v>
      </c>
      <c r="Q851" s="56">
        <v>0</v>
      </c>
      <c r="R851" s="244"/>
      <c r="S851" s="244"/>
      <c r="T851" s="11"/>
    </row>
    <row r="852" spans="1:20" ht="12.75">
      <c r="A852" s="234"/>
      <c r="B852" s="248"/>
      <c r="C852" s="117"/>
      <c r="D852" s="117"/>
      <c r="E852" s="108"/>
      <c r="F852" s="8"/>
      <c r="G852" s="55" t="s">
        <v>72</v>
      </c>
      <c r="H852" s="56">
        <f t="shared" si="228"/>
        <v>0</v>
      </c>
      <c r="I852" s="56">
        <f t="shared" si="228"/>
        <v>0</v>
      </c>
      <c r="J852" s="56">
        <v>0</v>
      </c>
      <c r="K852" s="56">
        <v>0</v>
      </c>
      <c r="L852" s="56">
        <v>0</v>
      </c>
      <c r="M852" s="56">
        <v>0</v>
      </c>
      <c r="N852" s="56">
        <v>0</v>
      </c>
      <c r="O852" s="56">
        <v>0</v>
      </c>
      <c r="P852" s="56">
        <v>0</v>
      </c>
      <c r="Q852" s="56">
        <v>0</v>
      </c>
      <c r="R852" s="244"/>
      <c r="S852" s="244"/>
      <c r="T852" s="11"/>
    </row>
    <row r="853" spans="1:19" ht="12.75">
      <c r="A853" s="163"/>
      <c r="B853" s="144" t="s">
        <v>41</v>
      </c>
      <c r="C853" s="69"/>
      <c r="D853" s="69"/>
      <c r="E853" s="144"/>
      <c r="F853" s="8"/>
      <c r="G853" s="46" t="s">
        <v>9</v>
      </c>
      <c r="H853" s="10">
        <f>SUM(H854:H864)</f>
        <v>179606.273</v>
      </c>
      <c r="I853" s="10">
        <f aca="true" t="shared" si="229" ref="I853:Q853">SUM(I854:I864)</f>
        <v>52189.793</v>
      </c>
      <c r="J853" s="10">
        <f t="shared" si="229"/>
        <v>199482.273</v>
      </c>
      <c r="K853" s="10">
        <f t="shared" si="229"/>
        <v>42642.893</v>
      </c>
      <c r="L853" s="10">
        <f t="shared" si="229"/>
        <v>0</v>
      </c>
      <c r="M853" s="10">
        <f t="shared" si="229"/>
        <v>0</v>
      </c>
      <c r="N853" s="10">
        <f t="shared" si="229"/>
        <v>10069.9</v>
      </c>
      <c r="O853" s="10">
        <f t="shared" si="229"/>
        <v>9546.9</v>
      </c>
      <c r="P853" s="10">
        <f t="shared" si="229"/>
        <v>0</v>
      </c>
      <c r="Q853" s="10">
        <f t="shared" si="229"/>
        <v>0</v>
      </c>
      <c r="R853" s="157"/>
      <c r="S853" s="216"/>
    </row>
    <row r="854" spans="1:20" ht="12.75">
      <c r="A854" s="164"/>
      <c r="B854" s="145"/>
      <c r="C854" s="70"/>
      <c r="D854" s="70"/>
      <c r="E854" s="145"/>
      <c r="F854" s="8"/>
      <c r="G854" s="47" t="s">
        <v>13</v>
      </c>
      <c r="H854" s="13">
        <f>H349+H373+H361+H385+H397+H409+H421+H433+H590+H445+H457+H469+H614+H481+H493+H505+H518+H530+H542+H578+H566+H554+H734+H722+H710+H698+H686+H674+H662+H650+H638+H626+H602+H758</f>
        <v>10953</v>
      </c>
      <c r="I854" s="13">
        <f aca="true" t="shared" si="230" ref="I854:Q854">I349+I373+I361+I385+I397+I409+I421+I433+I590+I445+I457+I469+I614+I481+I493+I505+I518+I530+I542+I578+I566+I554+I734+I722+I710+I698+I686+I674+I662+I650+I638+I626+I602+I758</f>
        <v>6111.7</v>
      </c>
      <c r="J854" s="13">
        <f t="shared" si="230"/>
        <v>8484.6</v>
      </c>
      <c r="K854" s="13">
        <f t="shared" si="230"/>
        <v>3643.2999999999997</v>
      </c>
      <c r="L854" s="13">
        <f t="shared" si="230"/>
        <v>0</v>
      </c>
      <c r="M854" s="13">
        <f t="shared" si="230"/>
        <v>0</v>
      </c>
      <c r="N854" s="13">
        <f t="shared" si="230"/>
        <v>2468.4</v>
      </c>
      <c r="O854" s="13">
        <f t="shared" si="230"/>
        <v>2468.4</v>
      </c>
      <c r="P854" s="13">
        <f t="shared" si="230"/>
        <v>0</v>
      </c>
      <c r="Q854" s="13">
        <f t="shared" si="230"/>
        <v>0</v>
      </c>
      <c r="R854" s="159"/>
      <c r="S854" s="217"/>
      <c r="T854" s="6"/>
    </row>
    <row r="855" spans="1:19" ht="12.75">
      <c r="A855" s="164"/>
      <c r="B855" s="145"/>
      <c r="C855" s="70"/>
      <c r="D855" s="70"/>
      <c r="E855" s="145"/>
      <c r="F855" s="8"/>
      <c r="G855" s="47" t="s">
        <v>11</v>
      </c>
      <c r="H855" s="13">
        <f>H350+H374+H362+H386+H398+H410+H422+H434+H591+H446+H458+H470+H615+H482+H494+H506+H519+H531+H543+H579+H567+H555+H735+H723+H711+H699+H687+H675+H663+H651+H639+H627+H603+H759</f>
        <v>19210.300000000003</v>
      </c>
      <c r="I855" s="13">
        <f aca="true" t="shared" si="231" ref="I855:Q855">I350+I374+I362+I386+I398+I410+I422+I434+I591+I446+I458+I470+I615+I482+I494+I506+I519+I531+I543+I579+I567+I555+I735+I723+I711+I699+I687+I675+I663+I651+I639+I627+I603+I759</f>
        <v>8159.1</v>
      </c>
      <c r="J855" s="13">
        <f t="shared" si="231"/>
        <v>15538.900000000001</v>
      </c>
      <c r="K855" s="13">
        <f t="shared" si="231"/>
        <v>4487.7</v>
      </c>
      <c r="L855" s="13">
        <f t="shared" si="231"/>
        <v>0</v>
      </c>
      <c r="M855" s="13">
        <f t="shared" si="231"/>
        <v>0</v>
      </c>
      <c r="N855" s="13">
        <f t="shared" si="231"/>
        <v>3671.4</v>
      </c>
      <c r="O855" s="13">
        <f t="shared" si="231"/>
        <v>3671.4</v>
      </c>
      <c r="P855" s="13">
        <f t="shared" si="231"/>
        <v>0</v>
      </c>
      <c r="Q855" s="13">
        <f t="shared" si="231"/>
        <v>0</v>
      </c>
      <c r="R855" s="159"/>
      <c r="S855" s="217"/>
    </row>
    <row r="856" spans="1:19" ht="12.75">
      <c r="A856" s="164"/>
      <c r="B856" s="145"/>
      <c r="C856" s="70"/>
      <c r="D856" s="70"/>
      <c r="E856" s="145"/>
      <c r="F856" s="8"/>
      <c r="G856" s="47" t="s">
        <v>12</v>
      </c>
      <c r="H856" s="13">
        <f>H351+H375+H363+H387+H399+H411+H423+H435+H592+H447+H459+H471+H616+H483+H495+H507+H520+H532+H544+H580+H568+H556+H736+H724+H712+H700+H688+H676+H664+H652+H640+H628+H604+H760</f>
        <v>21131.2</v>
      </c>
      <c r="I856" s="13">
        <f aca="true" t="shared" si="232" ref="I856:Q856">I351+I375+I363+I387+I399+I411+I423+I435+I592+I447+I459+I471+I616+I483+I495+I507+I520+I532+I544+I580+I568+I556+I736+I724+I712+I700+I688+I676+I664+I652+I640+I628+I604+I760</f>
        <v>6362.8</v>
      </c>
      <c r="J856" s="13">
        <f t="shared" si="232"/>
        <v>17724.1</v>
      </c>
      <c r="K856" s="13">
        <f t="shared" si="232"/>
        <v>2955.6999999999994</v>
      </c>
      <c r="L856" s="13">
        <f t="shared" si="232"/>
        <v>0</v>
      </c>
      <c r="M856" s="13">
        <f t="shared" si="232"/>
        <v>0</v>
      </c>
      <c r="N856" s="13">
        <f t="shared" si="232"/>
        <v>3407.1</v>
      </c>
      <c r="O856" s="13">
        <f t="shared" si="232"/>
        <v>3407.1</v>
      </c>
      <c r="P856" s="13">
        <f t="shared" si="232"/>
        <v>0</v>
      </c>
      <c r="Q856" s="13">
        <f t="shared" si="232"/>
        <v>0</v>
      </c>
      <c r="R856" s="159"/>
      <c r="S856" s="217"/>
    </row>
    <row r="857" spans="1:19" ht="12.75">
      <c r="A857" s="164"/>
      <c r="B857" s="145"/>
      <c r="C857" s="70"/>
      <c r="D857" s="70"/>
      <c r="E857" s="145"/>
      <c r="F857" s="8"/>
      <c r="G857" s="47" t="s">
        <v>14</v>
      </c>
      <c r="H857" s="13">
        <f>H352+H376+H364+H388+H400+H412+H424+H436+H593+H448+H460+H472+H617+H484+H496+H508+H521+H533+H545+H581+H569+H557+H737+H725+H713+H701+H689+H677+H665+H653+H641+H629+H605+H761</f>
        <v>19267.199999999997</v>
      </c>
      <c r="I857" s="13">
        <f aca="true" t="shared" si="233" ref="I857:Q857">I352+I376+I364+I388+I400+I412+I424+I436+I593+I448+I460+I472+I617+I484+I496+I508+I521+I533+I545+I581+I569+I557+I737+I725+I713+I701+I689+I677+I665+I653+I641+I629+I605+I761</f>
        <v>4026</v>
      </c>
      <c r="J857" s="13">
        <f t="shared" si="233"/>
        <v>18744.199999999997</v>
      </c>
      <c r="K857" s="13">
        <f t="shared" si="233"/>
        <v>4026</v>
      </c>
      <c r="L857" s="13">
        <f t="shared" si="233"/>
        <v>0</v>
      </c>
      <c r="M857" s="13">
        <f t="shared" si="233"/>
        <v>0</v>
      </c>
      <c r="N857" s="13">
        <f t="shared" si="233"/>
        <v>523</v>
      </c>
      <c r="O857" s="13">
        <f t="shared" si="233"/>
        <v>0</v>
      </c>
      <c r="P857" s="13">
        <f t="shared" si="233"/>
        <v>0</v>
      </c>
      <c r="Q857" s="13">
        <f t="shared" si="233"/>
        <v>0</v>
      </c>
      <c r="R857" s="159"/>
      <c r="S857" s="217"/>
    </row>
    <row r="858" spans="1:19" ht="12.75">
      <c r="A858" s="164"/>
      <c r="B858" s="145"/>
      <c r="C858" s="70"/>
      <c r="D858" s="70"/>
      <c r="E858" s="145"/>
      <c r="F858" s="8"/>
      <c r="G858" s="47" t="s">
        <v>15</v>
      </c>
      <c r="H858" s="13">
        <f>H353+H377+H365+H389+H401+H413+H425+H437+H594+H449+H461+H473+H618+H485+H497+H509+H522+H534+H546+H582+H570+H558+H738+H726+H714+H702+H690+H678+H666+H654+H642+H630+H606+H762</f>
        <v>25675</v>
      </c>
      <c r="I858" s="13">
        <f aca="true" t="shared" si="234" ref="I858:Q858">I353+I377+I365+I389+I401+I413+I425+I437+I594+I449+I461+I473+I618+I485+I497+I509+I522+I534+I546+I582+I570+I558+I738+I726+I714+I702+I690+I678+I666+I654+I642+I630+I606+I762</f>
        <v>6552.1</v>
      </c>
      <c r="J858" s="13">
        <f t="shared" si="234"/>
        <v>25675</v>
      </c>
      <c r="K858" s="13">
        <f t="shared" si="234"/>
        <v>6552.1</v>
      </c>
      <c r="L858" s="13">
        <f t="shared" si="234"/>
        <v>0</v>
      </c>
      <c r="M858" s="13">
        <f t="shared" si="234"/>
        <v>0</v>
      </c>
      <c r="N858" s="13">
        <f t="shared" si="234"/>
        <v>0</v>
      </c>
      <c r="O858" s="13">
        <f t="shared" si="234"/>
        <v>0</v>
      </c>
      <c r="P858" s="13">
        <f t="shared" si="234"/>
        <v>0</v>
      </c>
      <c r="Q858" s="13">
        <f t="shared" si="234"/>
        <v>0</v>
      </c>
      <c r="R858" s="159"/>
      <c r="S858" s="217"/>
    </row>
    <row r="859" spans="1:19" ht="12.75">
      <c r="A859" s="164"/>
      <c r="B859" s="145"/>
      <c r="C859" s="70"/>
      <c r="D859" s="70"/>
      <c r="E859" s="145"/>
      <c r="F859" s="8"/>
      <c r="G859" s="12" t="s">
        <v>61</v>
      </c>
      <c r="H859" s="13">
        <f aca="true" t="shared" si="235" ref="H859:Q864">H354+H378+H366+H390+H402+H414+H426+H438+H595+H450+H462+H474+H619+H486+H498+H510+H523+H535+H547+H583+H571+H559+H739+H727+H715+H703+H691+H679+H667+H655+H643+H631+H607</f>
        <v>17441.4</v>
      </c>
      <c r="I859" s="13">
        <f t="shared" si="235"/>
        <v>3443.9</v>
      </c>
      <c r="J859" s="13">
        <f t="shared" si="235"/>
        <v>17441.4</v>
      </c>
      <c r="K859" s="13">
        <f t="shared" si="235"/>
        <v>3443.9</v>
      </c>
      <c r="L859" s="13">
        <f t="shared" si="235"/>
        <v>0</v>
      </c>
      <c r="M859" s="13">
        <f t="shared" si="235"/>
        <v>0</v>
      </c>
      <c r="N859" s="13">
        <f t="shared" si="235"/>
        <v>0</v>
      </c>
      <c r="O859" s="13">
        <f t="shared" si="235"/>
        <v>0</v>
      </c>
      <c r="P859" s="13">
        <f t="shared" si="235"/>
        <v>0</v>
      </c>
      <c r="Q859" s="13">
        <f t="shared" si="235"/>
        <v>0</v>
      </c>
      <c r="R859" s="159"/>
      <c r="S859" s="217"/>
    </row>
    <row r="860" spans="1:19" ht="12.75">
      <c r="A860" s="164"/>
      <c r="B860" s="145"/>
      <c r="C860" s="70"/>
      <c r="D860" s="70"/>
      <c r="E860" s="145"/>
      <c r="F860" s="12"/>
      <c r="G860" s="47" t="s">
        <v>110</v>
      </c>
      <c r="H860" s="13">
        <f>J860+L860+N860+P860</f>
        <v>8407.993</v>
      </c>
      <c r="I860" s="13">
        <f>I776+I788+I355+I379+I367+I391+I403+I415+I427+I439+I596+I451+I463+I475+I620+I487+I499+I511+I524+I536+I548+I584+I572+I560+I740+I728+I716+I704+I692+I680+I668+I656+I644+I632+I608+I752+I764+I800+I812</f>
        <v>8407.993</v>
      </c>
      <c r="J860" s="13">
        <f>J848+J836+J824+J812+J800+J788+J776+J764+J752+J740+J728+J716+J704+J692+J680+J668+J656+J644+J632+J620+J608+J596+J584+J572+J560+J548+J536+J524+J511+J499+J487+J475+J463+J451+J439+J427+J415+J403+J391+J379+J367+J355</f>
        <v>8407.993</v>
      </c>
      <c r="K860" s="13">
        <f>K740+K728+K716+K704+K596+K355+K812+K800</f>
        <v>8407.993</v>
      </c>
      <c r="L860" s="13">
        <f aca="true" t="shared" si="236" ref="L860:Q860">L776+L788+L355+L379+L367+L391+L403+L415+L427+L439+L596+L451+L463+L475+L620+L487+L499+L511+L524+L536+L548+L584+L572+L560+L740+L728+L716+L704+L692+L680+L668+L656+L644+L632+L608+L752+L764</f>
        <v>0</v>
      </c>
      <c r="M860" s="13">
        <f t="shared" si="236"/>
        <v>0</v>
      </c>
      <c r="N860" s="13">
        <f t="shared" si="236"/>
        <v>0</v>
      </c>
      <c r="O860" s="13">
        <f t="shared" si="236"/>
        <v>0</v>
      </c>
      <c r="P860" s="13">
        <f t="shared" si="236"/>
        <v>0</v>
      </c>
      <c r="Q860" s="13">
        <f t="shared" si="236"/>
        <v>0</v>
      </c>
      <c r="R860" s="159"/>
      <c r="S860" s="217"/>
    </row>
    <row r="861" spans="1:19" ht="12.75">
      <c r="A861" s="164"/>
      <c r="B861" s="145"/>
      <c r="C861" s="70"/>
      <c r="D861" s="70"/>
      <c r="E861" s="145"/>
      <c r="F861" s="12"/>
      <c r="G861" s="47" t="s">
        <v>111</v>
      </c>
      <c r="H861" s="13">
        <f>J861</f>
        <v>26407.879999999997</v>
      </c>
      <c r="I861" s="13">
        <f t="shared" si="235"/>
        <v>4563.1</v>
      </c>
      <c r="J861" s="13">
        <f>J849+J837+J825+J801+J789+J741+J717+J597+J356</f>
        <v>26407.879999999997</v>
      </c>
      <c r="K861" s="13">
        <f>K741+K729+K717+K705+K597+K356</f>
        <v>4563.1</v>
      </c>
      <c r="L861" s="13">
        <f t="shared" si="235"/>
        <v>0</v>
      </c>
      <c r="M861" s="13">
        <f t="shared" si="235"/>
        <v>0</v>
      </c>
      <c r="N861" s="13">
        <f t="shared" si="235"/>
        <v>0</v>
      </c>
      <c r="O861" s="13">
        <f t="shared" si="235"/>
        <v>0</v>
      </c>
      <c r="P861" s="13">
        <f t="shared" si="235"/>
        <v>0</v>
      </c>
      <c r="Q861" s="13">
        <f t="shared" si="235"/>
        <v>0</v>
      </c>
      <c r="R861" s="159"/>
      <c r="S861" s="217"/>
    </row>
    <row r="862" spans="1:19" ht="12.75">
      <c r="A862" s="164"/>
      <c r="B862" s="145"/>
      <c r="C862" s="70"/>
      <c r="D862" s="70"/>
      <c r="E862" s="145"/>
      <c r="F862" s="12"/>
      <c r="G862" s="47" t="s">
        <v>112</v>
      </c>
      <c r="H862" s="13">
        <f t="shared" si="235"/>
        <v>15426.4</v>
      </c>
      <c r="I862" s="13">
        <f t="shared" si="235"/>
        <v>4563.1</v>
      </c>
      <c r="J862" s="13">
        <f>J357+J369+J381+J393+J405+J417+J429+J441+J453+J465+J477+J489+J501+J513+J526+J538+J550+J562+J574+J586+J598+J610+J622+J646+J658+J670+J682+J694+J706+J718+J730+J742+J754+J766+J778+J790</f>
        <v>15457.699999999999</v>
      </c>
      <c r="K862" s="13">
        <f>K598+K357</f>
        <v>4563.1</v>
      </c>
      <c r="L862" s="13">
        <f t="shared" si="235"/>
        <v>0</v>
      </c>
      <c r="M862" s="13">
        <f t="shared" si="235"/>
        <v>0</v>
      </c>
      <c r="N862" s="13">
        <f t="shared" si="235"/>
        <v>0</v>
      </c>
      <c r="O862" s="13">
        <f t="shared" si="235"/>
        <v>0</v>
      </c>
      <c r="P862" s="13">
        <f t="shared" si="235"/>
        <v>0</v>
      </c>
      <c r="Q862" s="13">
        <f t="shared" si="235"/>
        <v>0</v>
      </c>
      <c r="R862" s="159"/>
      <c r="S862" s="217"/>
    </row>
    <row r="863" spans="1:19" ht="12.75">
      <c r="A863" s="164"/>
      <c r="B863" s="145"/>
      <c r="C863" s="70"/>
      <c r="D863" s="70"/>
      <c r="E863" s="145"/>
      <c r="F863" s="12"/>
      <c r="G863" s="12" t="s">
        <v>113</v>
      </c>
      <c r="H863" s="13">
        <f t="shared" si="235"/>
        <v>15426.4</v>
      </c>
      <c r="I863" s="13">
        <f t="shared" si="235"/>
        <v>0</v>
      </c>
      <c r="J863" s="13">
        <f>J358+J370+J382+J394+J406+J418+J430+J442+J454+J466+J478+J490+J502+J514+J527+J539+J551+J563+J575+J587+J599+J611+J623+J647+J659+J671+J683+J695+J707+J719+J731+J743+J755+J767+J779+J791</f>
        <v>15457.699999999999</v>
      </c>
      <c r="K863" s="13">
        <f t="shared" si="235"/>
        <v>0</v>
      </c>
      <c r="L863" s="13">
        <f t="shared" si="235"/>
        <v>0</v>
      </c>
      <c r="M863" s="13">
        <f t="shared" si="235"/>
        <v>0</v>
      </c>
      <c r="N863" s="13">
        <f t="shared" si="235"/>
        <v>0</v>
      </c>
      <c r="O863" s="13">
        <f t="shared" si="235"/>
        <v>0</v>
      </c>
      <c r="P863" s="13">
        <f t="shared" si="235"/>
        <v>0</v>
      </c>
      <c r="Q863" s="13">
        <f t="shared" si="235"/>
        <v>0</v>
      </c>
      <c r="R863" s="159"/>
      <c r="S863" s="217"/>
    </row>
    <row r="864" spans="1:19" ht="12.75">
      <c r="A864" s="165"/>
      <c r="B864" s="146"/>
      <c r="C864" s="71"/>
      <c r="D864" s="71"/>
      <c r="E864" s="146"/>
      <c r="F864" s="12"/>
      <c r="G864" s="47" t="s">
        <v>72</v>
      </c>
      <c r="H864" s="13">
        <f t="shared" si="235"/>
        <v>259.5</v>
      </c>
      <c r="I864" s="13">
        <f t="shared" si="235"/>
        <v>0</v>
      </c>
      <c r="J864" s="13">
        <f>J359+J371+J383+J395+J407+J419+J431+J443+J455+J467+J479+J491+J503+J515+J528+J540+J552+J564+J576+J588+J600+J612+J624+J648+J660+J672+J684+J696+J708+J720+J732+J744+J756+J768+J780+J792</f>
        <v>30142.8</v>
      </c>
      <c r="K864" s="13">
        <f t="shared" si="235"/>
        <v>0</v>
      </c>
      <c r="L864" s="13">
        <f t="shared" si="235"/>
        <v>0</v>
      </c>
      <c r="M864" s="13">
        <f t="shared" si="235"/>
        <v>0</v>
      </c>
      <c r="N864" s="13">
        <f t="shared" si="235"/>
        <v>0</v>
      </c>
      <c r="O864" s="13">
        <f t="shared" si="235"/>
        <v>0</v>
      </c>
      <c r="P864" s="13">
        <f t="shared" si="235"/>
        <v>0</v>
      </c>
      <c r="Q864" s="13">
        <f t="shared" si="235"/>
        <v>0</v>
      </c>
      <c r="R864" s="161"/>
      <c r="S864" s="218"/>
    </row>
    <row r="865" spans="1:19" ht="12.75">
      <c r="A865" s="239"/>
      <c r="B865" s="236" t="s">
        <v>10</v>
      </c>
      <c r="C865" s="81"/>
      <c r="D865" s="81"/>
      <c r="E865" s="216"/>
      <c r="F865" s="12"/>
      <c r="G865" s="10" t="s">
        <v>9</v>
      </c>
      <c r="H865" s="10">
        <f>H866+H867+H868+H869+H870+H871+H872+H873+H874+H875+H876</f>
        <v>1656803.8370000003</v>
      </c>
      <c r="I865" s="10">
        <f>I866+I867+I868+I869+I870+I871+I872+I873+I874+I875+I876</f>
        <v>636376.13693</v>
      </c>
      <c r="J865" s="10">
        <f>J866+J867+J868+J869+J870+J871+J872+J873+J874+J875+J876</f>
        <v>1638904.037</v>
      </c>
      <c r="K865" s="10">
        <f>K866+K867+K868+K869+K870+K871+K872+K873+K874+K875+K876</f>
        <v>618999.2670000001</v>
      </c>
      <c r="L865" s="10">
        <v>0</v>
      </c>
      <c r="M865" s="10">
        <v>0</v>
      </c>
      <c r="N865" s="10">
        <f>N866+N867+N868+N869+N870</f>
        <v>17899.8</v>
      </c>
      <c r="O865" s="10">
        <f>O866+O867+O868+O869+O870</f>
        <v>17376.8</v>
      </c>
      <c r="P865" s="10">
        <v>0</v>
      </c>
      <c r="Q865" s="10">
        <v>0</v>
      </c>
      <c r="R865" s="228"/>
      <c r="S865" s="229"/>
    </row>
    <row r="866" spans="1:19" ht="12.75">
      <c r="A866" s="240"/>
      <c r="B866" s="237"/>
      <c r="C866" s="82"/>
      <c r="D866" s="82"/>
      <c r="E866" s="217"/>
      <c r="F866" s="12"/>
      <c r="G866" s="51" t="s">
        <v>13</v>
      </c>
      <c r="H866" s="13">
        <v>118075</v>
      </c>
      <c r="I866" s="13">
        <v>43029.3</v>
      </c>
      <c r="J866" s="13">
        <v>112606.6</v>
      </c>
      <c r="K866" s="13">
        <v>37560.899999999994</v>
      </c>
      <c r="L866" s="13">
        <v>0</v>
      </c>
      <c r="M866" s="13">
        <v>0</v>
      </c>
      <c r="N866" s="13">
        <v>5468.4</v>
      </c>
      <c r="O866" s="13">
        <v>5468.4</v>
      </c>
      <c r="P866" s="13">
        <v>0</v>
      </c>
      <c r="Q866" s="13">
        <v>0</v>
      </c>
      <c r="R866" s="230"/>
      <c r="S866" s="231"/>
    </row>
    <row r="867" spans="1:19" ht="12.75">
      <c r="A867" s="240"/>
      <c r="B867" s="237"/>
      <c r="C867" s="82"/>
      <c r="D867" s="82"/>
      <c r="E867" s="217"/>
      <c r="F867" s="12"/>
      <c r="G867" s="51" t="s">
        <v>11</v>
      </c>
      <c r="H867" s="13">
        <v>136941.90000000002</v>
      </c>
      <c r="I867" s="13">
        <v>59297.799999999996</v>
      </c>
      <c r="J867" s="13">
        <v>133270.5</v>
      </c>
      <c r="K867" s="13">
        <v>55626.399999999994</v>
      </c>
      <c r="L867" s="13">
        <v>0</v>
      </c>
      <c r="M867" s="13">
        <v>0</v>
      </c>
      <c r="N867" s="13">
        <v>3671.4</v>
      </c>
      <c r="O867" s="13">
        <v>3671.4</v>
      </c>
      <c r="P867" s="13">
        <v>0</v>
      </c>
      <c r="Q867" s="13">
        <v>0</v>
      </c>
      <c r="R867" s="230"/>
      <c r="S867" s="231"/>
    </row>
    <row r="868" spans="1:19" ht="12.75">
      <c r="A868" s="240"/>
      <c r="B868" s="237"/>
      <c r="C868" s="82"/>
      <c r="D868" s="82"/>
      <c r="E868" s="217"/>
      <c r="F868" s="12"/>
      <c r="G868" s="51" t="s">
        <v>12</v>
      </c>
      <c r="H868" s="13">
        <v>141425.6</v>
      </c>
      <c r="I868" s="13">
        <v>47717.8</v>
      </c>
      <c r="J868" s="13">
        <v>138018.5</v>
      </c>
      <c r="K868" s="13">
        <v>44310.7</v>
      </c>
      <c r="L868" s="13">
        <v>0</v>
      </c>
      <c r="M868" s="13">
        <v>0</v>
      </c>
      <c r="N868" s="13">
        <v>3407.1</v>
      </c>
      <c r="O868" s="13">
        <v>3407.1</v>
      </c>
      <c r="P868" s="13">
        <v>0</v>
      </c>
      <c r="Q868" s="13">
        <v>0</v>
      </c>
      <c r="R868" s="230"/>
      <c r="S868" s="231"/>
    </row>
    <row r="869" spans="1:19" ht="12.75">
      <c r="A869" s="240"/>
      <c r="B869" s="237"/>
      <c r="C869" s="82"/>
      <c r="D869" s="82"/>
      <c r="E869" s="217"/>
      <c r="F869" s="12"/>
      <c r="G869" s="51" t="s">
        <v>14</v>
      </c>
      <c r="H869" s="13">
        <v>134147.4</v>
      </c>
      <c r="I869" s="13">
        <v>60346.7</v>
      </c>
      <c r="J869" s="13">
        <v>133624.4</v>
      </c>
      <c r="K869" s="13">
        <v>60346.7</v>
      </c>
      <c r="L869" s="13">
        <v>0</v>
      </c>
      <c r="M869" s="13">
        <v>0</v>
      </c>
      <c r="N869" s="13">
        <v>523</v>
      </c>
      <c r="O869" s="13">
        <v>0</v>
      </c>
      <c r="P869" s="13">
        <v>0</v>
      </c>
      <c r="Q869" s="13">
        <v>0</v>
      </c>
      <c r="R869" s="230"/>
      <c r="S869" s="231"/>
    </row>
    <row r="870" spans="1:19" ht="12.75">
      <c r="A870" s="240"/>
      <c r="B870" s="237"/>
      <c r="C870" s="82"/>
      <c r="D870" s="82"/>
      <c r="E870" s="217"/>
      <c r="F870" s="12"/>
      <c r="G870" s="51" t="s">
        <v>15</v>
      </c>
      <c r="H870" s="13">
        <v>142954.5</v>
      </c>
      <c r="I870" s="13">
        <v>76889</v>
      </c>
      <c r="J870" s="13">
        <v>138124.6</v>
      </c>
      <c r="K870" s="13">
        <v>72059.1</v>
      </c>
      <c r="L870" s="13">
        <v>0</v>
      </c>
      <c r="M870" s="13">
        <v>0</v>
      </c>
      <c r="N870" s="13">
        <v>4829.9</v>
      </c>
      <c r="O870" s="13">
        <v>4829.9</v>
      </c>
      <c r="P870" s="13">
        <v>0</v>
      </c>
      <c r="Q870" s="13">
        <v>0</v>
      </c>
      <c r="R870" s="230"/>
      <c r="S870" s="231"/>
    </row>
    <row r="871" spans="1:19" ht="12.75">
      <c r="A871" s="240"/>
      <c r="B871" s="237"/>
      <c r="C871" s="82"/>
      <c r="D871" s="82"/>
      <c r="E871" s="217"/>
      <c r="F871" s="12"/>
      <c r="G871" s="10" t="s">
        <v>61</v>
      </c>
      <c r="H871" s="13">
        <v>179799.44400000002</v>
      </c>
      <c r="I871" s="13">
        <v>81757.32393</v>
      </c>
      <c r="J871" s="13">
        <v>179799.44400000002</v>
      </c>
      <c r="K871" s="13">
        <v>81757.254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230"/>
      <c r="S871" s="231"/>
    </row>
    <row r="872" spans="1:21" ht="12.75">
      <c r="A872" s="240"/>
      <c r="B872" s="237"/>
      <c r="C872" s="82"/>
      <c r="D872" s="82"/>
      <c r="E872" s="217"/>
      <c r="F872" s="48"/>
      <c r="G872" s="10" t="s">
        <v>110</v>
      </c>
      <c r="H872" s="13">
        <f>J872</f>
        <v>95200.593</v>
      </c>
      <c r="I872" s="13">
        <f>K872</f>
        <v>95171.413</v>
      </c>
      <c r="J872" s="13">
        <f aca="true" t="shared" si="237" ref="J872:K874">J860+J342+J257</f>
        <v>95200.593</v>
      </c>
      <c r="K872" s="13">
        <f t="shared" si="237"/>
        <v>95171.413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230"/>
      <c r="S872" s="231"/>
      <c r="U872" s="6"/>
    </row>
    <row r="873" spans="1:19" ht="12.75">
      <c r="A873" s="240"/>
      <c r="B873" s="237"/>
      <c r="C873" s="82"/>
      <c r="D873" s="82"/>
      <c r="E873" s="217"/>
      <c r="F873" s="48"/>
      <c r="G873" s="10" t="s">
        <v>111</v>
      </c>
      <c r="H873" s="13">
        <f>J873</f>
        <v>171284.2</v>
      </c>
      <c r="I873" s="13">
        <v>86083.4</v>
      </c>
      <c r="J873" s="13">
        <f t="shared" si="237"/>
        <v>171284.2</v>
      </c>
      <c r="K873" s="13">
        <f t="shared" si="237"/>
        <v>86083.4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230"/>
      <c r="S873" s="231"/>
    </row>
    <row r="874" spans="1:19" ht="12.75">
      <c r="A874" s="240"/>
      <c r="B874" s="237"/>
      <c r="C874" s="82"/>
      <c r="D874" s="82"/>
      <c r="E874" s="217"/>
      <c r="F874" s="48"/>
      <c r="G874" s="10" t="s">
        <v>112</v>
      </c>
      <c r="H874" s="13">
        <f>J874</f>
        <v>170477.3</v>
      </c>
      <c r="I874" s="13">
        <v>86083.4</v>
      </c>
      <c r="J874" s="13">
        <f t="shared" si="237"/>
        <v>170477.3</v>
      </c>
      <c r="K874" s="13">
        <f t="shared" si="237"/>
        <v>86083.4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230"/>
      <c r="S874" s="231"/>
    </row>
    <row r="875" spans="1:19" ht="12.75">
      <c r="A875" s="240"/>
      <c r="B875" s="237"/>
      <c r="C875" s="82"/>
      <c r="D875" s="82"/>
      <c r="E875" s="217"/>
      <c r="F875" s="48"/>
      <c r="G875" s="10" t="s">
        <v>113</v>
      </c>
      <c r="H875" s="13">
        <f>J875</f>
        <v>170477.3</v>
      </c>
      <c r="I875" s="13">
        <v>0</v>
      </c>
      <c r="J875" s="13">
        <f>J863+J345+J260</f>
        <v>170477.3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230"/>
      <c r="S875" s="231"/>
    </row>
    <row r="876" spans="1:19" ht="12.75">
      <c r="A876" s="241"/>
      <c r="B876" s="238"/>
      <c r="C876" s="83"/>
      <c r="D876" s="83"/>
      <c r="E876" s="218"/>
      <c r="F876" s="48"/>
      <c r="G876" s="10" t="s">
        <v>72</v>
      </c>
      <c r="H876" s="13">
        <f>J876</f>
        <v>196020.59999999998</v>
      </c>
      <c r="I876" s="13">
        <v>0</v>
      </c>
      <c r="J876" s="13">
        <f>J864+J346+J261</f>
        <v>196020.59999999998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232"/>
      <c r="S876" s="233"/>
    </row>
    <row r="877" spans="1:19" ht="31.5" customHeight="1">
      <c r="A877" s="235" t="s">
        <v>151</v>
      </c>
      <c r="B877" s="235"/>
      <c r="C877" s="235"/>
      <c r="D877" s="235"/>
      <c r="E877" s="235"/>
      <c r="F877" s="235"/>
      <c r="G877" s="235"/>
      <c r="H877" s="235"/>
      <c r="I877" s="235"/>
      <c r="J877" s="235"/>
      <c r="K877" s="235"/>
      <c r="L877" s="235"/>
      <c r="M877" s="235"/>
      <c r="N877" s="235"/>
      <c r="O877" s="235"/>
      <c r="P877" s="235"/>
      <c r="Q877" s="235"/>
      <c r="R877" s="235"/>
      <c r="S877" s="235"/>
    </row>
    <row r="879" ht="12.75">
      <c r="K879" s="6"/>
    </row>
    <row r="881" spans="8:11" ht="12.75">
      <c r="H881" s="6">
        <f>H850+H838+H826+H814+H802+H790+H742+H730+H718+H706+H598+H357</f>
        <v>25601.1</v>
      </c>
      <c r="I881" s="6">
        <f>H851+H826</f>
        <v>10143.4</v>
      </c>
      <c r="J881" s="6"/>
      <c r="K881" s="11"/>
    </row>
    <row r="882" ht="12.75">
      <c r="K882" s="11"/>
    </row>
    <row r="884" spans="8:13" ht="12.75">
      <c r="H884" s="11"/>
      <c r="I884" s="11"/>
      <c r="J884" s="11"/>
      <c r="K884" s="11"/>
      <c r="M884" s="6"/>
    </row>
    <row r="885" spans="7:17" ht="18">
      <c r="G885" s="49"/>
      <c r="H885" s="49">
        <f>7176.3-5500</f>
        <v>1676.3000000000002</v>
      </c>
      <c r="I885" s="49"/>
      <c r="J885" s="49"/>
      <c r="K885" s="124"/>
      <c r="L885" s="49"/>
      <c r="M885" s="49"/>
      <c r="N885" s="49"/>
      <c r="O885" s="49"/>
      <c r="P885" s="49"/>
      <c r="Q885" s="49"/>
    </row>
    <row r="886" spans="7:17" ht="18">
      <c r="G886" s="49"/>
      <c r="H886" s="49">
        <f>47397.7-16800</f>
        <v>30597.699999999997</v>
      </c>
      <c r="I886" s="49"/>
      <c r="J886" s="124"/>
      <c r="K886" s="50"/>
      <c r="L886" s="49"/>
      <c r="M886" s="49"/>
      <c r="N886" s="49"/>
      <c r="O886" s="49"/>
      <c r="P886" s="49"/>
      <c r="Q886" s="49"/>
    </row>
    <row r="887" spans="7:17" ht="18">
      <c r="G887" s="49"/>
      <c r="H887" s="49">
        <f>3445.6-1000</f>
        <v>2445.6</v>
      </c>
      <c r="I887" s="49"/>
      <c r="J887" s="49"/>
      <c r="K887" s="49"/>
      <c r="L887" s="49"/>
      <c r="M887" s="49"/>
      <c r="N887" s="49"/>
      <c r="O887" s="49"/>
      <c r="P887" s="49"/>
      <c r="Q887" s="49"/>
    </row>
    <row r="888" spans="7:17" ht="18">
      <c r="G888" s="49"/>
      <c r="H888" s="49">
        <f>19732.6-2898.8</f>
        <v>16833.8</v>
      </c>
      <c r="I888" s="49"/>
      <c r="J888" s="49"/>
      <c r="K888" s="49"/>
      <c r="L888" s="49"/>
      <c r="M888" s="49"/>
      <c r="N888" s="49"/>
      <c r="O888" s="49"/>
      <c r="P888" s="49"/>
      <c r="Q888" s="49"/>
    </row>
    <row r="889" spans="7:17" ht="18">
      <c r="G889" s="49"/>
      <c r="H889" s="49">
        <v>389.7</v>
      </c>
      <c r="I889" s="49"/>
      <c r="J889" s="49"/>
      <c r="K889" s="49"/>
      <c r="L889" s="49"/>
      <c r="M889" s="49"/>
      <c r="N889" s="49"/>
      <c r="O889" s="49"/>
      <c r="P889" s="49"/>
      <c r="Q889" s="49"/>
    </row>
    <row r="890" spans="7:17" ht="18">
      <c r="G890" s="49"/>
      <c r="H890" s="49">
        <f>300-288.5</f>
        <v>11.5</v>
      </c>
      <c r="I890" s="49"/>
      <c r="J890" s="49"/>
      <c r="K890" s="49"/>
      <c r="L890" s="49"/>
      <c r="M890" s="49"/>
      <c r="N890" s="49"/>
      <c r="O890" s="49"/>
      <c r="P890" s="49"/>
      <c r="Q890" s="49"/>
    </row>
    <row r="891" ht="12.75">
      <c r="H891" s="2">
        <f>5055.1-3171.8</f>
        <v>1883.3000000000002</v>
      </c>
    </row>
    <row r="892" spans="2:8" ht="12.75">
      <c r="B892" s="11"/>
      <c r="C892" s="11"/>
      <c r="D892" s="11"/>
      <c r="H892" s="2">
        <f>624.5-624.5</f>
        <v>0</v>
      </c>
    </row>
    <row r="893" ht="12.75">
      <c r="H893" s="2">
        <f>SUM(H885:H892)</f>
        <v>53837.899999999994</v>
      </c>
    </row>
    <row r="898" spans="8:10" ht="12.75">
      <c r="H898" s="11"/>
      <c r="J898" s="11"/>
    </row>
    <row r="899" spans="8:10" ht="12.75">
      <c r="H899" s="11"/>
      <c r="J899" s="11"/>
    </row>
    <row r="900" spans="8:10" ht="12.75">
      <c r="H900" s="11"/>
      <c r="J900" s="11"/>
    </row>
    <row r="901" spans="8:10" ht="12.75">
      <c r="H901" s="11"/>
      <c r="J901" s="11"/>
    </row>
    <row r="902" spans="8:10" ht="12.75">
      <c r="H902" s="11"/>
      <c r="J902" s="11"/>
    </row>
    <row r="903" spans="8:10" ht="12.75">
      <c r="H903" s="11"/>
      <c r="J903" s="11"/>
    </row>
  </sheetData>
  <sheetProtection/>
  <mergeCells count="276">
    <mergeCell ref="A841:A852"/>
    <mergeCell ref="B841:B852"/>
    <mergeCell ref="R841:S852"/>
    <mergeCell ref="A817:A828"/>
    <mergeCell ref="B817:B828"/>
    <mergeCell ref="R817:S828"/>
    <mergeCell ref="A829:A840"/>
    <mergeCell ref="B829:B840"/>
    <mergeCell ref="R829:S840"/>
    <mergeCell ref="A793:A804"/>
    <mergeCell ref="B793:B804"/>
    <mergeCell ref="R793:S804"/>
    <mergeCell ref="A805:A816"/>
    <mergeCell ref="B805:B816"/>
    <mergeCell ref="R805:S816"/>
    <mergeCell ref="R7:S7"/>
    <mergeCell ref="A673:A684"/>
    <mergeCell ref="R781:S792"/>
    <mergeCell ref="B769:B780"/>
    <mergeCell ref="B781:B792"/>
    <mergeCell ref="A769:A780"/>
    <mergeCell ref="A781:A792"/>
    <mergeCell ref="B757:B768"/>
    <mergeCell ref="R757:S768"/>
    <mergeCell ref="A757:A768"/>
    <mergeCell ref="B673:B684"/>
    <mergeCell ref="R649:S660"/>
    <mergeCell ref="R661:S672"/>
    <mergeCell ref="R769:S780"/>
    <mergeCell ref="A709:A720"/>
    <mergeCell ref="B649:B660"/>
    <mergeCell ref="E649:E660"/>
    <mergeCell ref="A745:A756"/>
    <mergeCell ref="B745:B756"/>
    <mergeCell ref="R745:S756"/>
    <mergeCell ref="R709:S720"/>
    <mergeCell ref="R733:S744"/>
    <mergeCell ref="A733:A744"/>
    <mergeCell ref="B733:B744"/>
    <mergeCell ref="A697:A708"/>
    <mergeCell ref="B697:B708"/>
    <mergeCell ref="B709:B720"/>
    <mergeCell ref="A721:A732"/>
    <mergeCell ref="A396:A407"/>
    <mergeCell ref="B517:B528"/>
    <mergeCell ref="B721:B732"/>
    <mergeCell ref="R697:S708"/>
    <mergeCell ref="B420:B431"/>
    <mergeCell ref="A420:A431"/>
    <mergeCell ref="R420:S431"/>
    <mergeCell ref="B456:B467"/>
    <mergeCell ref="A649:A660"/>
    <mergeCell ref="R673:S684"/>
    <mergeCell ref="A408:A419"/>
    <mergeCell ref="E432:E438"/>
    <mergeCell ref="A444:A455"/>
    <mergeCell ref="A553:A564"/>
    <mergeCell ref="B637:B648"/>
    <mergeCell ref="A637:A648"/>
    <mergeCell ref="B541:B552"/>
    <mergeCell ref="A541:A552"/>
    <mergeCell ref="A565:A576"/>
    <mergeCell ref="B565:B576"/>
    <mergeCell ref="R396:S407"/>
    <mergeCell ref="R432:S443"/>
    <mergeCell ref="R553:S564"/>
    <mergeCell ref="R444:S455"/>
    <mergeCell ref="R492:S503"/>
    <mergeCell ref="E408:E419"/>
    <mergeCell ref="R529:S540"/>
    <mergeCell ref="A384:A395"/>
    <mergeCell ref="A263:A274"/>
    <mergeCell ref="E311:E322"/>
    <mergeCell ref="B311:B322"/>
    <mergeCell ref="A311:A322"/>
    <mergeCell ref="E348:E359"/>
    <mergeCell ref="B323:B334"/>
    <mergeCell ref="A348:A359"/>
    <mergeCell ref="A299:A310"/>
    <mergeCell ref="A347:S347"/>
    <mergeCell ref="R287:S298"/>
    <mergeCell ref="R22:S33"/>
    <mergeCell ref="R130:S141"/>
    <mergeCell ref="R118:S129"/>
    <mergeCell ref="R106:S117"/>
    <mergeCell ref="R94:S105"/>
    <mergeCell ref="R70:S81"/>
    <mergeCell ref="R46:S57"/>
    <mergeCell ref="R82:S93"/>
    <mergeCell ref="R154:S165"/>
    <mergeCell ref="A877:S877"/>
    <mergeCell ref="E865:E876"/>
    <mergeCell ref="B865:B876"/>
    <mergeCell ref="A865:A876"/>
    <mergeCell ref="R504:S516"/>
    <mergeCell ref="A589:A600"/>
    <mergeCell ref="A517:A528"/>
    <mergeCell ref="E661:E672"/>
    <mergeCell ref="R721:S732"/>
    <mergeCell ref="R685:S696"/>
    <mergeCell ref="A287:A298"/>
    <mergeCell ref="A226:A237"/>
    <mergeCell ref="A214:A225"/>
    <mergeCell ref="A202:A213"/>
    <mergeCell ref="B360:B371"/>
    <mergeCell ref="B348:B359"/>
    <mergeCell ref="B299:B310"/>
    <mergeCell ref="A275:A286"/>
    <mergeCell ref="A250:A261"/>
    <mergeCell ref="A238:A249"/>
    <mergeCell ref="R360:S371"/>
    <mergeCell ref="R190:S201"/>
    <mergeCell ref="B372:B383"/>
    <mergeCell ref="B396:B407"/>
    <mergeCell ref="A372:A383"/>
    <mergeCell ref="R335:S346"/>
    <mergeCell ref="R226:S237"/>
    <mergeCell ref="A323:A334"/>
    <mergeCell ref="E372:E383"/>
    <mergeCell ref="A360:A371"/>
    <mergeCell ref="R275:S286"/>
    <mergeCell ref="E154:E165"/>
    <mergeCell ref="B432:B443"/>
    <mergeCell ref="A432:A443"/>
    <mergeCell ref="B335:B346"/>
    <mergeCell ref="A335:A346"/>
    <mergeCell ref="R311:S322"/>
    <mergeCell ref="R323:S334"/>
    <mergeCell ref="E323:E334"/>
    <mergeCell ref="E335:E346"/>
    <mergeCell ref="R348:S359"/>
    <mergeCell ref="R865:S876"/>
    <mergeCell ref="A529:A540"/>
    <mergeCell ref="B529:B540"/>
    <mergeCell ref="R541:S552"/>
    <mergeCell ref="B685:B696"/>
    <mergeCell ref="E685:E696"/>
    <mergeCell ref="A661:A672"/>
    <mergeCell ref="R589:S600"/>
    <mergeCell ref="B553:B564"/>
    <mergeCell ref="B589:B600"/>
    <mergeCell ref="B853:B864"/>
    <mergeCell ref="B480:B491"/>
    <mergeCell ref="E853:E864"/>
    <mergeCell ref="R299:S310"/>
    <mergeCell ref="R372:S383"/>
    <mergeCell ref="R408:S419"/>
    <mergeCell ref="R517:S528"/>
    <mergeCell ref="R565:S576"/>
    <mergeCell ref="R384:S395"/>
    <mergeCell ref="A853:A864"/>
    <mergeCell ref="A577:A588"/>
    <mergeCell ref="R853:S864"/>
    <mergeCell ref="E673:E684"/>
    <mergeCell ref="A685:A696"/>
    <mergeCell ref="R480:S491"/>
    <mergeCell ref="A480:A491"/>
    <mergeCell ref="B661:B672"/>
    <mergeCell ref="R577:S588"/>
    <mergeCell ref="B577:B588"/>
    <mergeCell ref="B444:B455"/>
    <mergeCell ref="B504:B516"/>
    <mergeCell ref="A504:A516"/>
    <mergeCell ref="A468:A479"/>
    <mergeCell ref="B468:B479"/>
    <mergeCell ref="A456:A467"/>
    <mergeCell ref="A492:A503"/>
    <mergeCell ref="B492:B503"/>
    <mergeCell ref="B408:B419"/>
    <mergeCell ref="B178:B189"/>
    <mergeCell ref="E226:E237"/>
    <mergeCell ref="E202:E213"/>
    <mergeCell ref="B226:B237"/>
    <mergeCell ref="B250:B261"/>
    <mergeCell ref="B238:B249"/>
    <mergeCell ref="B275:B286"/>
    <mergeCell ref="E250:E261"/>
    <mergeCell ref="E299:E310"/>
    <mergeCell ref="B384:B395"/>
    <mergeCell ref="E396:E407"/>
    <mergeCell ref="E360:E371"/>
    <mergeCell ref="B263:B274"/>
    <mergeCell ref="E263:E274"/>
    <mergeCell ref="E287:E298"/>
    <mergeCell ref="B287:B298"/>
    <mergeCell ref="E384:E395"/>
    <mergeCell ref="A166:A177"/>
    <mergeCell ref="E190:E201"/>
    <mergeCell ref="B190:B201"/>
    <mergeCell ref="A190:A201"/>
    <mergeCell ref="A178:A189"/>
    <mergeCell ref="V263:AD263"/>
    <mergeCell ref="B166:B177"/>
    <mergeCell ref="E178:E189"/>
    <mergeCell ref="R263:S274"/>
    <mergeCell ref="E166:E177"/>
    <mergeCell ref="G4:G6"/>
    <mergeCell ref="H4:I5"/>
    <mergeCell ref="J4:Q4"/>
    <mergeCell ref="B214:B225"/>
    <mergeCell ref="R178:S189"/>
    <mergeCell ref="R166:S177"/>
    <mergeCell ref="R142:S153"/>
    <mergeCell ref="R34:S45"/>
    <mergeCell ref="R58:S69"/>
    <mergeCell ref="R202:S213"/>
    <mergeCell ref="N1:S2"/>
    <mergeCell ref="A3:S3"/>
    <mergeCell ref="A4:A6"/>
    <mergeCell ref="B4:B6"/>
    <mergeCell ref="E4:E6"/>
    <mergeCell ref="B154:B165"/>
    <mergeCell ref="J5:K5"/>
    <mergeCell ref="L5:M5"/>
    <mergeCell ref="N5:O5"/>
    <mergeCell ref="P5:Q5"/>
    <mergeCell ref="A601:A612"/>
    <mergeCell ref="B601:B612"/>
    <mergeCell ref="A34:A45"/>
    <mergeCell ref="B202:B213"/>
    <mergeCell ref="E70:E81"/>
    <mergeCell ref="R468:S479"/>
    <mergeCell ref="B106:B117"/>
    <mergeCell ref="A106:A117"/>
    <mergeCell ref="R456:S467"/>
    <mergeCell ref="E275:E286"/>
    <mergeCell ref="B34:B45"/>
    <mergeCell ref="E22:E33"/>
    <mergeCell ref="R4:S6"/>
    <mergeCell ref="B22:B33"/>
    <mergeCell ref="A22:A33"/>
    <mergeCell ref="E118:E129"/>
    <mergeCell ref="E34:E45"/>
    <mergeCell ref="A8:S8"/>
    <mergeCell ref="A21:S21"/>
    <mergeCell ref="F4:F6"/>
    <mergeCell ref="A94:A105"/>
    <mergeCell ref="E106:E117"/>
    <mergeCell ref="A9:E20"/>
    <mergeCell ref="R9:S20"/>
    <mergeCell ref="E46:E57"/>
    <mergeCell ref="B46:B57"/>
    <mergeCell ref="A46:A57"/>
    <mergeCell ref="E58:E69"/>
    <mergeCell ref="B58:B69"/>
    <mergeCell ref="A58:A69"/>
    <mergeCell ref="R601:S612"/>
    <mergeCell ref="A154:A165"/>
    <mergeCell ref="B70:B81"/>
    <mergeCell ref="A70:A81"/>
    <mergeCell ref="E82:E93"/>
    <mergeCell ref="B82:B93"/>
    <mergeCell ref="A82:A93"/>
    <mergeCell ref="E142:E153"/>
    <mergeCell ref="E94:E105"/>
    <mergeCell ref="B94:B105"/>
    <mergeCell ref="A130:A141"/>
    <mergeCell ref="A142:A153"/>
    <mergeCell ref="B142:B153"/>
    <mergeCell ref="R637:S648"/>
    <mergeCell ref="B625:B636"/>
    <mergeCell ref="A625:A636"/>
    <mergeCell ref="R626:S636"/>
    <mergeCell ref="A613:A624"/>
    <mergeCell ref="B613:B624"/>
    <mergeCell ref="R613:S624"/>
    <mergeCell ref="C4:C6"/>
    <mergeCell ref="D4:D6"/>
    <mergeCell ref="B118:B129"/>
    <mergeCell ref="R214:S225"/>
    <mergeCell ref="R238:S249"/>
    <mergeCell ref="A262:S262"/>
    <mergeCell ref="R250:S261"/>
    <mergeCell ref="A118:A129"/>
    <mergeCell ref="E130:E141"/>
    <mergeCell ref="B130:B141"/>
  </mergeCells>
  <printOptions/>
  <pageMargins left="0" right="0" top="0.3937007874015748" bottom="0.3937007874015748" header="0" footer="0"/>
  <pageSetup fitToHeight="0" fitToWidth="1" horizontalDpi="600" verticalDpi="600" orientation="landscape" paperSize="9" scale="60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 Светлана Михайловна</cp:lastModifiedBy>
  <cp:lastPrinted>2021-12-28T07:35:41Z</cp:lastPrinted>
  <dcterms:created xsi:type="dcterms:W3CDTF">2014-04-28T07:48:47Z</dcterms:created>
  <dcterms:modified xsi:type="dcterms:W3CDTF">2021-12-28T07:36:12Z</dcterms:modified>
  <cp:category/>
  <cp:version/>
  <cp:contentType/>
  <cp:contentStatus/>
</cp:coreProperties>
</file>