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persons/person.xml" ContentType="application/vnd.ms-excel.person+xml"/>
  <Override PartName="/xl/threadedComments/threadedComment1.xml" ContentType="application/vnd.ms-excel.threaded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Лист1" sheetId="1" state="visible" r:id="rId2"/>
  </sheets>
  <definedNames>
    <definedName name="Print_Titles" localSheetId="0" hidden="0">'Лист1'!$13:$15</definedName>
  </definedNames>
  <calcPr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tc={00750043-0080-4309-BF05-007A00990079}</author>
    <author>tc={0078008C-00EB-47E4-95CC-005E00A400F5}</author>
    <author>tc={006B005C-00C6-4EBC-8A4E-00C500600098}</author>
    <author>tc={004E0033-000F-4165-97C7-006F00B600E8}</author>
    <author>tc={00720076-007B-4379-9B84-00C5000400F1}</author>
  </authors>
  <commentList>
    <comment ref="M68" authorId="0" xr:uid="{00750043-0080-4309-BF05-007A00990079}">
      <text>
        <r>
          <rPr>
            <b/>
            <sz val="9"/>
            <rFont val="Tahoma"/>
          </rPr>
          <t xml:space="preserve">Володина Лидия Михайловна:</t>
        </r>
        <r>
          <rPr>
            <sz val="9"/>
            <rFont val="Tahoma"/>
          </rPr>
          <t xml:space="preserve">
Софинансирование, подали заявку.
</t>
        </r>
      </text>
    </comment>
    <comment ref="J334" authorId="1" xr:uid="{0078008C-00EB-47E4-95CC-005E00A400F5}">
      <text>
        <r>
          <rPr>
            <b/>
            <sz val="9"/>
            <rFont val="Tahoma"/>
          </rPr>
          <t xml:space="preserve">Шаталина Татьяна Евгеньевна:</t>
        </r>
        <r>
          <rPr>
            <sz val="9"/>
            <rFont val="Tahoma"/>
          </rPr>
          <t xml:space="preserve">
890 фнр к дню победы
</t>
        </r>
      </text>
    </comment>
    <comment ref="I185" authorId="2" xr:uid="{006B005C-00C6-4EBC-8A4E-00C500600098}">
      <text>
        <r>
          <rPr>
            <b/>
            <sz val="9"/>
            <rFont val="Tahoma"/>
          </rPr>
          <t xml:space="preserve">Володина Лидия Михайловна:</t>
        </r>
        <r>
          <rPr>
            <sz val="9"/>
            <rFont val="Tahoma"/>
          </rPr>
          <t xml:space="preserve">
Для софинансирования 418,0
</t>
        </r>
      </text>
    </comment>
    <comment ref="M185" authorId="3" xr:uid="{004E0033-000F-4165-97C7-006F00B600E8}">
      <text>
        <r>
          <rPr>
            <b/>
            <sz val="9"/>
            <rFont val="Tahoma"/>
          </rPr>
          <t xml:space="preserve">Володина Лидия Михайловна:</t>
        </r>
        <r>
          <rPr>
            <sz val="9"/>
            <rFont val="Tahoma"/>
          </rPr>
          <t xml:space="preserve">
Софинансирование, заявку подали.
</t>
        </r>
      </text>
    </comment>
    <comment ref="O69" authorId="4" xr:uid="{00720076-007B-4379-9B84-00C5000400F1}">
      <text>
        <r>
          <rPr>
            <b/>
            <sz val="9"/>
            <rFont val="Tahoma"/>
          </rPr>
          <t>Shatalina:</t>
        </r>
        <r>
          <rPr>
            <sz val="9"/>
            <rFont val="Tahoma"/>
          </rPr>
          <t xml:space="preserve">
c ост. на нач года
</t>
        </r>
      </text>
    </comment>
  </commentList>
</comments>
</file>

<file path=xl/sharedStrings.xml><?xml version="1.0" encoding="utf-8"?>
<sst xmlns="http://schemas.openxmlformats.org/spreadsheetml/2006/main" count="141" uniqueCount="141">
  <si>
    <t xml:space="preserve">Приложение 5 к постановлению
администрации Города Томска от    №
</t>
  </si>
  <si>
    <t xml:space="preserve">администрации Города Томска от 01.03.2023 № 164           </t>
  </si>
  <si>
    <t xml:space="preserve">Приложение 2 к Подпрограмме 1 «Развитие культуры» муниципальной программы «Развитие культуры и туризма» муниципального образования «Город Томск» на 2015 - 2025 годы</t>
  </si>
  <si>
    <t xml:space="preserve">ПЕРЕЧЕНЬ МЕРОПРИЯТИЙ И РЕСУРСНОЕ ОБЕСПЕЧЕНИЕ  ПОДПРОГРАММЫ 1 «РАЗВИТИЕ КУЛЬТУРЫ»</t>
  </si>
  <si>
    <t>№</t>
  </si>
  <si>
    <t xml:space="preserve">Наименования целей, задач, ведомственных целевых программ,  мероприятий муниципальной подпрограммы</t>
  </si>
  <si>
    <t xml:space="preserve">Код бюджетной классификации (КЦСР, КВР)</t>
  </si>
  <si>
    <t xml:space="preserve">Уровень приоритетности мероприятий</t>
  </si>
  <si>
    <t xml:space="preserve">Критерий уровня приоритетности мероприятий</t>
  </si>
  <si>
    <t xml:space="preserve">Срок исполнения</t>
  </si>
  <si>
    <t xml:space="preserve">Объем финансирования (тыс. руб.)</t>
  </si>
  <si>
    <t xml:space="preserve">В том числе, за счет средств</t>
  </si>
  <si>
    <t xml:space="preserve">Ответственный исполнитель, соисполнители, участники</t>
  </si>
  <si>
    <t xml:space="preserve">местного бюджета </t>
  </si>
  <si>
    <t xml:space="preserve">федерального бюджета</t>
  </si>
  <si>
    <t xml:space="preserve">областного бюджета</t>
  </si>
  <si>
    <t xml:space="preserve">внебюджетных источников</t>
  </si>
  <si>
    <t>потребность</t>
  </si>
  <si>
    <t>утверждено</t>
  </si>
  <si>
    <t>план</t>
  </si>
  <si>
    <r>
      <t>Цель:</t>
    </r>
    <r>
      <rPr>
        <sz val="10"/>
        <rFont val="Times New Roman"/>
      </rPr>
      <t xml:space="preserve"> Повышение качества и доступности услуг в сфере культуры</t>
    </r>
  </si>
  <si>
    <t xml:space="preserve">Основное мероприятие «Организация предоставления услуг в области культуры» (решается в рамках задач 1.1, 1.2, 1.4)</t>
  </si>
  <si>
    <t>всего</t>
  </si>
  <si>
    <t xml:space="preserve">УК    АКР
АЛР
АОР
АСР</t>
  </si>
  <si>
    <t xml:space="preserve">2015 год</t>
  </si>
  <si>
    <t xml:space="preserve">КЦСР 0310100000, КВР 000</t>
  </si>
  <si>
    <t xml:space="preserve">2016 год</t>
  </si>
  <si>
    <t xml:space="preserve">2017 год</t>
  </si>
  <si>
    <t xml:space="preserve">2018 год</t>
  </si>
  <si>
    <t xml:space="preserve">2019 год</t>
  </si>
  <si>
    <t xml:space="preserve">2020 год</t>
  </si>
  <si>
    <t xml:space="preserve">2021 год</t>
  </si>
  <si>
    <t xml:space="preserve">2022 год</t>
  </si>
  <si>
    <t xml:space="preserve">2023 год</t>
  </si>
  <si>
    <t xml:space="preserve">2024 год</t>
  </si>
  <si>
    <t xml:space="preserve">2025 год</t>
  </si>
  <si>
    <t xml:space="preserve">  Основное мероприятие  «Организация предоставления
дополнительного образования художественно-
эстетической направленности детям» (решается в рамках задачи 1.3)       </t>
  </si>
  <si>
    <t>УК</t>
  </si>
  <si>
    <t xml:space="preserve">КЦСР 0310200000, КВР 000</t>
  </si>
  <si>
    <t xml:space="preserve">Основное мероприятие  «Реализация регионального проекта «Культурная среда» национального проекта  «Культура» (решается в рамках задачи 1.5) </t>
  </si>
  <si>
    <t xml:space="preserve">КЦСР 03 1 А1 00000, КВР 000</t>
  </si>
  <si>
    <t>1.</t>
  </si>
  <si>
    <t xml:space="preserve">Задача 1.1 </t>
  </si>
  <si>
    <t xml:space="preserve">Организация библиотечного обслуживания населения </t>
  </si>
  <si>
    <t xml:space="preserve">КЦСР 03 1 0000,               КВР 000</t>
  </si>
  <si>
    <t xml:space="preserve">КЦСР 03 1 01 00000,               КВР 000</t>
  </si>
  <si>
    <t xml:space="preserve">1.1.1. Обеспечение беспрепятственного доступа населения к информационно-библиотечным ресурсам</t>
  </si>
  <si>
    <t xml:space="preserve">КЦСР 0316406,                             0316405,                                                       0310059,                                       КВР 621, 622</t>
  </si>
  <si>
    <t>I</t>
  </si>
  <si>
    <t xml:space="preserve">А                    </t>
  </si>
  <si>
    <t xml:space="preserve">КЦСР 0310100590, 0310140650, 0310140660,               КВР 621,622</t>
  </si>
  <si>
    <t xml:space="preserve">КЦСР 0310100590, 03101S0650,                 03101S0660, 0310140650, 0310140660,  03101L5190;      03101L519F                КВР 621,622</t>
  </si>
  <si>
    <t xml:space="preserve">1.1.2.Приобретение доступа к полнотекстовым базам книг и периодических изданий</t>
  </si>
  <si>
    <t xml:space="preserve"> с 01.01.2016 мероприятие реализуется в рамках мероприятия 1.1.1. Обеспечение беспрепятственного доступа населения к информационно-библиотечным ресурсам</t>
  </si>
  <si>
    <t xml:space="preserve">1.1.3. Разработка проектно-сметной документации на проведение капитального ремонта и капитальный ремонт муниципальной библиотеки ( далее-МБ) «Кольцевая», МБ «Эврика» 2017 год . МБ «Лада» 2018 год</t>
  </si>
  <si>
    <t xml:space="preserve">1.1.3 .Обеспечение пожарной безопасности муниципальных библиотек</t>
  </si>
  <si>
    <t>II</t>
  </si>
  <si>
    <t xml:space="preserve">КЦСР 0310100590,           КВР 622, 621</t>
  </si>
  <si>
    <t xml:space="preserve">1.1.4.Организация трудоустройства несовершеннолетних детей в каникулярное время</t>
  </si>
  <si>
    <t xml:space="preserve">КЦСР 0310059,           КВР 622</t>
  </si>
  <si>
    <t xml:space="preserve">КЦСР 0310100590,           КВР 622</t>
  </si>
  <si>
    <t>2.</t>
  </si>
  <si>
    <t xml:space="preserve">Задача 1.2.</t>
  </si>
  <si>
    <t xml:space="preserve"> Организация  музейного обслуживания  населения</t>
  </si>
  <si>
    <t xml:space="preserve">КЦСР 03 1 01 00000,                  КВР 000 </t>
  </si>
  <si>
    <t xml:space="preserve">1.2.1. Обеспечение равного доступа к культурным ценностям посредством предоставления музейных услуг</t>
  </si>
  <si>
    <t xml:space="preserve">КЦСР 0316406,                             0316405,                                                       0310059,                    КВР 621, 622</t>
  </si>
  <si>
    <t xml:space="preserve">КЦСР 0310100590, 0310140650, 0310140660,               КВР 621, 622</t>
  </si>
  <si>
    <t xml:space="preserve">КЦСР 0310100590, 03101S0650,                 03101S0660, 0310140650, 0310140660,               КВР 621,622</t>
  </si>
  <si>
    <t xml:space="preserve">1.2.2. Оцифровка и электронная каталогизация музейного фонда Музея истории Томска</t>
  </si>
  <si>
    <t>-</t>
  </si>
  <si>
    <t xml:space="preserve">с 01.01.2016 мероприятие реализуется в рамках мероприятия 1.2.1. Обеспечение равного доступа к культурным ценностям посредством предоставления музейных услуг</t>
  </si>
  <si>
    <t xml:space="preserve">1.2.3. Проведение мероприятий по обеспечению противопожарной безопасности в  музее.</t>
  </si>
  <si>
    <t xml:space="preserve">Задача 1.3.</t>
  </si>
  <si>
    <t xml:space="preserve">Организация предоставления дополнительного образования художественно-эстетической направленности </t>
  </si>
  <si>
    <t xml:space="preserve">КЦСР 00 0 0000, КВР 000</t>
  </si>
  <si>
    <t xml:space="preserve">КЦСР 03 1 02 00000,                 КВР 000</t>
  </si>
  <si>
    <t xml:space="preserve">1.3.1. Предоставление дополнительного образования </t>
  </si>
  <si>
    <t xml:space="preserve">КЦСР 0316505, 0316309,      0316012,      0310059,            КВР 611, 612, 621, 622</t>
  </si>
  <si>
    <t xml:space="preserve">КЦСР  0310240400, 0310240530, 0310240670, 0310200590,             КВР 611,612, 621, 622</t>
  </si>
  <si>
    <t xml:space="preserve">КЦСР 0310200590, 03102S0400, 0310240530, 03102S0670, 0310240670, 0310240400,     0310240690, 0310241030,  03102L5190                КВР 611,612, 621, 622</t>
  </si>
  <si>
    <t xml:space="preserve">1.3.2. Обеспечение муниципальных учреждений дополнительного образования музыкальными инструментами</t>
  </si>
  <si>
    <t xml:space="preserve">КЦСР 0310059,           КВР 622, 621,  612,611</t>
  </si>
  <si>
    <t xml:space="preserve">КЦСР 0310200590,  03102L5190            КВР 622, 621,  612,611</t>
  </si>
  <si>
    <t xml:space="preserve">с 01.01.2020 мероприятия реализуются в рамках мероприятия 1.3.1. Предоставление дополнительного образования</t>
  </si>
  <si>
    <t xml:space="preserve">1.3.3. Обеспечение муниципальных учреждений дополнительного образования специальным оборудованием</t>
  </si>
  <si>
    <t xml:space="preserve">КЦСР 0310200590,           КВР 622,  612, 611, 621</t>
  </si>
  <si>
    <t xml:space="preserve">с 01.01.2019 мероприятия реализуются в рамках мероприятия 1.3.1. Предоставление дополнительного образования</t>
  </si>
  <si>
    <t xml:space="preserve">1.3.4. Внедрение современных информационных технологий в образовательный процесс    </t>
  </si>
  <si>
    <t xml:space="preserve">с 01.01.2016 мероприятия реализуются в рамках мероприятия 1.3.1. Предоставление дополнительного образования</t>
  </si>
  <si>
    <t xml:space="preserve">1.3.5. Совершенствование системы образовательного процесса </t>
  </si>
  <si>
    <t xml:space="preserve">1.3.6. Развитие и поддержка творческих коллективов, одаренных детей и молодежи  в МОУ ДО</t>
  </si>
  <si>
    <t xml:space="preserve">1.3.7. Разработка проектно-сметной документации на проведение капитального ремонта и капитальный ремонт  ДШИ №1, ДМШ №2</t>
  </si>
  <si>
    <t xml:space="preserve">1.3.7. Обеспечение пожарной безопасности МОУ ДО</t>
  </si>
  <si>
    <t>A</t>
  </si>
  <si>
    <t xml:space="preserve">КЦСР 0310059,           КВР 622, 612</t>
  </si>
  <si>
    <t xml:space="preserve">КЦСР 0310200590,          КВР 622, 612</t>
  </si>
  <si>
    <t xml:space="preserve">Задача  1.4. </t>
  </si>
  <si>
    <t xml:space="preserve">Организация предоставления  культурно- досуговых услуг</t>
  </si>
  <si>
    <t xml:space="preserve">КЦСР 03 1 01 00000,                      КВР 000 </t>
  </si>
  <si>
    <t xml:space="preserve">1.4.1. Предоставление культурно-досуговых услуг.</t>
  </si>
  <si>
    <t xml:space="preserve">КЦСР 0310100590, 03101S0650,                 03101S0660, 0310140650, 0310140660, 03101L4670                КВР 621,622</t>
  </si>
  <si>
    <t xml:space="preserve">1.4.2. Создание условий для организации пляжного отдыха</t>
  </si>
  <si>
    <t xml:space="preserve">КЦСР 0310059,           КВР 621, 622</t>
  </si>
  <si>
    <t xml:space="preserve">КЦСР 0310100590,          КВР 621,622</t>
  </si>
  <si>
    <t xml:space="preserve">1.4.3. Приобретение светотехнического и звукотехнического оборудования</t>
  </si>
  <si>
    <t xml:space="preserve">с 01.01.2016 мероприятия реализуются в рамках мероприятия 1.4.1. Предоставление культурно-досуговых услуг</t>
  </si>
  <si>
    <t xml:space="preserve">1.4.4. Приобретение передвижных сценических площадок, навесов, другого оборудования для уличных мероприятий</t>
  </si>
  <si>
    <t xml:space="preserve">1.4.5. Разработка проектно-сметной документации на проведение капитального ремонта и капитальный ремонт ДК «Маяк» ДК «Светлый» 2017 год ДК «Томский перекресток» 2018 год
</t>
  </si>
  <si>
    <t xml:space="preserve">ДК "Светлый" 2017 год</t>
  </si>
  <si>
    <t xml:space="preserve">ДК "Томский перекресток" 2018 год</t>
  </si>
  <si>
    <t xml:space="preserve">1.4.6. Строительство МКОЦ «Степановский»</t>
  </si>
  <si>
    <t xml:space="preserve">1.4.5. Создание условий для сохранения и развития традиционной народной культуры, нематериального культурного наследия  </t>
  </si>
  <si>
    <t xml:space="preserve">с 01.01.2016 мероприятие реализуется в рамках подпрограммы IV.III «Организация и обеспечение эффективного функционирования сети учреждений»</t>
  </si>
  <si>
    <t xml:space="preserve">1.4.6. Проведение городского конкурса творческих проектов</t>
  </si>
  <si>
    <t xml:space="preserve">1.4.7. Создание условий для сохранения и развития исполнительских искусств</t>
  </si>
  <si>
    <t xml:space="preserve">с 01.01.2016 мероприятие реализуется в рамках мероприятия 1.4.1. Предоставление культурно-досуговых услуг</t>
  </si>
  <si>
    <t xml:space="preserve">1.4.8. Поддержка мероприятий, посвящённых значимым событиям российской культуры и развитию культурного сотрудничества</t>
  </si>
  <si>
    <t xml:space="preserve">1.4.9. Обеспечение пожарной безопасности культурно-досуговых учреждений</t>
  </si>
  <si>
    <t xml:space="preserve">КЦСР 0310100590,          КВР 622</t>
  </si>
  <si>
    <t xml:space="preserve">1.4.10. Организация и проведение Администрацией Кировского района Города Томска социально значимых мероприятий*</t>
  </si>
  <si>
    <t>Ж</t>
  </si>
  <si>
    <t>АКР</t>
  </si>
  <si>
    <t xml:space="preserve">КЦСР 03 1 01 20380 КВР 244</t>
  </si>
  <si>
    <t xml:space="preserve">1.4.11. Организация и проведение Администрацией  Ленинского района Города Томска социально значимых мероприятий*</t>
  </si>
  <si>
    <t>АЛР</t>
  </si>
  <si>
    <t xml:space="preserve">1.4.12. Организация и проведение Администрацией Октябрьского района Города Томска социально значимых мероприятий*</t>
  </si>
  <si>
    <t>АОР</t>
  </si>
  <si>
    <t xml:space="preserve">1.4.13. Организация и проведение Администрацией Советского района Города Томска социально значимых мероприятий*</t>
  </si>
  <si>
    <t>АСР</t>
  </si>
  <si>
    <t xml:space="preserve">Задача  1.5</t>
  </si>
  <si>
    <t xml:space="preserve">Реализация регионального проекта «Культурная среда» национального проекта  «Культура»</t>
  </si>
  <si>
    <t xml:space="preserve">КЦСР 03 1 А1  00000,     КВР 000 </t>
  </si>
  <si>
    <t xml:space="preserve">1.5.1.Создание модельных муниципальных библиотек по результатам конкурсного отбора, проводимого Министерством культуры Российской Федерации</t>
  </si>
  <si>
    <t>А</t>
  </si>
  <si>
    <t xml:space="preserve">КЦСР 03 1 А1 54540,     03 1 A1 5454F            КВР 622</t>
  </si>
  <si>
    <t xml:space="preserve">Итого по Подпрограмме 1 </t>
  </si>
  <si>
    <t xml:space="preserve">по бюджету</t>
  </si>
  <si>
    <t xml:space="preserve">по МП</t>
  </si>
  <si>
    <t>разница</t>
  </si>
  <si>
    <t>районы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</si>
</sst>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7">
    <numFmt numFmtId="160" formatCode="_-* #,##0.00\ &quot;₽&quot;_-;\-* #,##0.00\ &quot;₽&quot;_-;_-* &quot;-&quot;??\ &quot;₽&quot;_-;_-@_-"/>
    <numFmt numFmtId="161" formatCode="_-* #,##0\ &quot;₽&quot;_-;\-* #,##0\ &quot;₽&quot;_-;_-* &quot;-&quot;\ &quot;₽&quot;_-;_-@_-"/>
    <numFmt numFmtId="162" formatCode="_-* #,##0.00\ _₽_-;\-* #,##0.00\ _₽_-;_-* &quot;-&quot;??\ _₽_-;_-@_-"/>
    <numFmt numFmtId="163" formatCode="_-* #,##0\ _₽_-;\-* #,##0\ _₽_-;_-* &quot;-&quot;\ _₽_-;_-@_-"/>
    <numFmt numFmtId="164" formatCode="#,##0.0"/>
    <numFmt numFmtId="165" formatCode="_-* #,##0.0\ _₽_-;\-* #,##0.0\ _₽_-;_-* &quot;-&quot;?\ _₽_-;_-@_-"/>
    <numFmt numFmtId="166" formatCode="0.0"/>
  </numFmts>
  <fonts count="28">
    <font>
      <name val="Times New Roman"/>
      <color theme="1" tint="0"/>
      <sz val="12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Times New Roman"/>
      <color theme="10" tint="0"/>
      <sz val="10.800000"/>
      <u/>
    </font>
    <font>
      <name val="Times New Roman"/>
      <sz val="12.000000"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mbria"/>
      <b/>
      <color theme="3" tint="0"/>
      <sz val="18.000000"/>
      <scheme val="major"/>
    </font>
    <font>
      <name val="Calibri"/>
      <color rgb="FF9C6500"/>
      <sz val="11.000000"/>
      <scheme val="minor"/>
    </font>
    <font>
      <name val="Times New Roman"/>
      <color theme="11" tint="0"/>
      <sz val="10.800000"/>
      <u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Times New Roman"/>
      <b/>
      <sz val="12.000000"/>
    </font>
    <font>
      <name val="Times New Roman"/>
      <sz val="10.000000"/>
    </font>
    <font>
      <name val="Times New Roman"/>
      <b/>
      <sz val="10.000000"/>
    </font>
    <font>
      <name val="Times New Roman"/>
      <i/>
      <sz val="10.000000"/>
    </font>
    <font>
      <name val="Times New Roman"/>
      <b/>
      <color theme="1" tint="0"/>
      <sz val="12.000000"/>
    </font>
    <font>
      <name val="Times New Roman"/>
      <b/>
      <i/>
      <sz val="10.000000"/>
    </font>
    <font>
      <name val="Times New Roman"/>
      <sz val="11.000000"/>
    </font>
  </fonts>
  <fills count="34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9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2" fillId="25" borderId="0" numFmtId="0" applyNumberFormat="1" applyFont="1" applyFill="1" applyBorder="1"/>
    <xf fontId="3" fillId="26" borderId="1" numFmtId="0" applyNumberFormat="1" applyFont="1" applyFill="1" applyBorder="1"/>
    <xf fontId="4" fillId="27" borderId="2" numFmtId="0" applyNumberFormat="1" applyFont="1" applyFill="1" applyBorder="1"/>
    <xf fontId="5" fillId="27" borderId="1" numFmtId="0" applyNumberFormat="1" applyFont="1" applyFill="1" applyBorder="1"/>
    <xf fontId="6" fillId="0" borderId="0" numFmtId="0" applyNumberFormat="1" applyFont="1" applyFill="1" applyBorder="1">
      <alignment vertical="top"/>
    </xf>
    <xf fontId="7" fillId="0" borderId="0" numFmtId="160" applyNumberFormat="1" applyFont="1" applyFill="1" applyBorder="1"/>
    <xf fontId="7" fillId="0" borderId="0" numFmtId="161" applyNumberFormat="1" applyFont="1" applyFill="1" applyBorder="1"/>
    <xf fontId="8" fillId="0" borderId="3" numFmtId="0" applyNumberFormat="1" applyFont="1" applyFill="1" applyBorder="1"/>
    <xf fontId="9" fillId="0" borderId="4" numFmtId="0" applyNumberFormat="1" applyFont="1" applyFill="1" applyBorder="1"/>
    <xf fontId="10" fillId="0" borderId="5" numFmtId="0" applyNumberFormat="1" applyFont="1" applyFill="1" applyBorder="1"/>
    <xf fontId="10" fillId="0" borderId="0" numFmtId="0" applyNumberFormat="1" applyFont="1" applyFill="1" applyBorder="1"/>
    <xf fontId="11" fillId="0" borderId="6" numFmtId="0" applyNumberFormat="1" applyFont="1" applyFill="1" applyBorder="1"/>
    <xf fontId="12" fillId="28" borderId="7" numFmtId="0" applyNumberFormat="1" applyFont="1" applyFill="1" applyBorder="1"/>
    <xf fontId="13" fillId="0" borderId="0" numFmtId="0" applyNumberFormat="1" applyFont="1" applyFill="1" applyBorder="1"/>
    <xf fontId="14" fillId="29" borderId="0" numFmtId="0" applyNumberFormat="1" applyFont="1" applyFill="1" applyBorder="1"/>
    <xf fontId="15" fillId="0" borderId="0" numFmtId="0" applyNumberFormat="1" applyFont="1" applyFill="1" applyBorder="1">
      <alignment vertical="top"/>
    </xf>
    <xf fontId="16" fillId="30" borderId="0" numFmtId="0" applyNumberFormat="1" applyFont="1" applyFill="1" applyBorder="1"/>
    <xf fontId="17" fillId="0" borderId="0" numFmtId="0" applyNumberFormat="1" applyFont="1" applyFill="1" applyBorder="1"/>
    <xf fontId="7" fillId="31" borderId="8" numFmtId="0" applyNumberFormat="1" applyFont="1" applyFill="1" applyBorder="1"/>
    <xf fontId="7" fillId="0" borderId="0" numFmtId="9" applyNumberFormat="1" applyFont="1" applyFill="1" applyBorder="1"/>
    <xf fontId="18" fillId="0" borderId="9" numFmtId="0" applyNumberFormat="1" applyFont="1" applyFill="1" applyBorder="1"/>
    <xf fontId="19" fillId="0" borderId="0" numFmtId="0" applyNumberFormat="1" applyFont="1" applyFill="1" applyBorder="1"/>
    <xf fontId="7" fillId="0" borderId="0" numFmtId="162" applyNumberFormat="1" applyFont="1" applyFill="1" applyBorder="1"/>
    <xf fontId="7" fillId="0" borderId="0" numFmtId="163" applyNumberFormat="1" applyFont="1" applyFill="1" applyBorder="1"/>
    <xf fontId="20" fillId="32" borderId="0" numFmtId="0" applyNumberFormat="1" applyFont="1" applyFill="1" applyBorder="1"/>
  </cellStyleXfs>
  <cellXfs count="124">
    <xf fontId="0" fillId="0" borderId="0" numFmtId="0" xfId="0"/>
    <xf fontId="0" fillId="33" borderId="0" numFmtId="0" xfId="0" applyFill="1"/>
    <xf fontId="0" fillId="33" borderId="0" numFmtId="0" xfId="0" applyFill="1" applyAlignment="1">
      <alignment horizontal="left"/>
    </xf>
    <xf fontId="0" fillId="33" borderId="0" numFmtId="0" xfId="0" applyFill="1" applyAlignment="1">
      <alignment horizontal="center" vertical="center"/>
    </xf>
    <xf fontId="21" fillId="33" borderId="0" numFmtId="0" xfId="0" applyFont="1" applyFill="1" applyAlignment="1">
      <alignment horizontal="center" vertical="center"/>
    </xf>
    <xf fontId="7" fillId="33" borderId="0" numFmtId="0" xfId="0" applyFont="1" applyFill="1" applyAlignment="1">
      <alignment horizontal="center" vertical="center"/>
    </xf>
    <xf fontId="7" fillId="33" borderId="0" numFmtId="0" xfId="0" applyFont="1" applyFill="1" applyAlignment="1">
      <alignment horizontal="right" wrapText="1"/>
    </xf>
    <xf fontId="7" fillId="33" borderId="0" numFmtId="0" xfId="0" applyFont="1" applyFill="1" applyAlignment="1">
      <alignment horizontal="right"/>
    </xf>
    <xf fontId="7" fillId="33" borderId="0" numFmtId="0" xfId="0" applyFont="1" applyFill="1"/>
    <xf fontId="0" fillId="33" borderId="0" numFmtId="0" xfId="0" applyFill="1" applyAlignment="1">
      <alignment horizontal="right" vertical="center" wrapText="1"/>
    </xf>
    <xf fontId="22" fillId="33" borderId="0" numFmtId="0" xfId="0" applyFont="1" applyFill="1" applyAlignment="1">
      <alignment horizontal="center"/>
    </xf>
    <xf fontId="22" fillId="33" borderId="10" numFmtId="0" xfId="0" applyFont="1" applyFill="1" applyBorder="1" applyAlignment="1">
      <alignment horizontal="center" vertical="center" wrapText="1"/>
    </xf>
    <xf fontId="22" fillId="33" borderId="11" numFmtId="0" xfId="0" applyFont="1" applyFill="1" applyBorder="1" applyAlignment="1">
      <alignment horizontal="center" vertical="center" wrapText="1"/>
    </xf>
    <xf fontId="23" fillId="33" borderId="10" numFmtId="0" xfId="0" applyFont="1" applyFill="1" applyBorder="1" applyAlignment="1">
      <alignment horizontal="center" vertical="center" wrapText="1"/>
    </xf>
    <xf fontId="22" fillId="33" borderId="12" numFmtId="0" xfId="0" applyFont="1" applyFill="1" applyBorder="1" applyAlignment="1">
      <alignment horizontal="center" vertical="center" wrapText="1"/>
    </xf>
    <xf fontId="0" fillId="33" borderId="10" numFmtId="0" xfId="0" applyFill="1" applyBorder="1"/>
    <xf fontId="22" fillId="33" borderId="13" numFmtId="0" xfId="0" applyFont="1" applyFill="1" applyBorder="1" applyAlignment="1">
      <alignment horizontal="center" vertical="center" wrapText="1"/>
    </xf>
    <xf fontId="7" fillId="33" borderId="10" numFmtId="0" xfId="0" applyFont="1" applyFill="1" applyBorder="1"/>
    <xf fontId="24" fillId="33" borderId="10" numFmtId="0" xfId="0" applyFont="1" applyFill="1" applyBorder="1" applyAlignment="1">
      <alignment horizontal="left" vertical="top" wrapText="1"/>
    </xf>
    <xf fontId="0" fillId="33" borderId="10" numFmtId="0" xfId="0" applyFill="1" applyBorder="1" applyAlignment="1">
      <alignment horizontal="center" vertical="center"/>
    </xf>
    <xf fontId="25" fillId="33" borderId="0" numFmtId="0" xfId="0" applyFont="1" applyFill="1"/>
    <xf fontId="26" fillId="33" borderId="11" numFmtId="0" xfId="0" applyFont="1" applyFill="1" applyBorder="1" applyAlignment="1">
      <alignment horizontal="center" vertical="top" wrapText="1"/>
    </xf>
    <xf fontId="23" fillId="33" borderId="11" numFmtId="0" xfId="0" applyFont="1" applyFill="1" applyBorder="1" applyAlignment="1">
      <alignment horizontal="center" vertical="center" wrapText="1"/>
    </xf>
    <xf fontId="23" fillId="33" borderId="10" numFmtId="164" xfId="0" applyNumberFormat="1" applyFont="1" applyFill="1" applyBorder="1" applyAlignment="1">
      <alignment horizontal="center" vertical="center" wrapText="1"/>
    </xf>
    <xf fontId="23" fillId="33" borderId="11" numFmtId="0" xfId="0" applyFont="1" applyFill="1" applyBorder="1" applyAlignment="1">
      <alignment horizontal="center" textRotation="90" vertical="center" wrapText="1"/>
    </xf>
    <xf fontId="25" fillId="33" borderId="10" numFmtId="0" xfId="0" applyFont="1" applyFill="1" applyBorder="1"/>
    <xf fontId="21" fillId="33" borderId="0" numFmtId="0" xfId="0" applyFont="1" applyFill="1"/>
    <xf fontId="26" fillId="33" borderId="12" numFmtId="0" xfId="0" applyFont="1" applyFill="1" applyBorder="1" applyAlignment="1">
      <alignment horizontal="center" vertical="top" wrapText="1"/>
    </xf>
    <xf fontId="23" fillId="33" borderId="12" numFmtId="0" xfId="0" applyFont="1" applyFill="1" applyBorder="1" applyAlignment="1">
      <alignment horizontal="center" vertical="center" wrapText="1"/>
    </xf>
    <xf fontId="23" fillId="33" borderId="11" numFmtId="164" xfId="0" applyNumberFormat="1" applyFont="1" applyFill="1" applyBorder="1" applyAlignment="1">
      <alignment horizontal="center" vertical="center" wrapText="1"/>
    </xf>
    <xf fontId="23" fillId="33" borderId="12" numFmtId="0" xfId="0" applyFont="1" applyFill="1" applyBorder="1" applyAlignment="1">
      <alignment horizontal="center" textRotation="90" vertical="center"/>
    </xf>
    <xf fontId="23" fillId="33" borderId="14" numFmtId="0" xfId="0" applyFont="1" applyFill="1" applyBorder="1" applyAlignment="1">
      <alignment vertical="center" wrapText="1"/>
    </xf>
    <xf fontId="21" fillId="33" borderId="0" numFmtId="164" xfId="0" applyNumberFormat="1" applyFont="1" applyFill="1"/>
    <xf fontId="21" fillId="33" borderId="15" numFmtId="0" xfId="0" applyFont="1" applyFill="1" applyBorder="1"/>
    <xf fontId="23" fillId="33" borderId="16" numFmtId="0" xfId="0" applyFont="1" applyFill="1" applyBorder="1" applyAlignment="1">
      <alignment horizontal="center" vertical="center" wrapText="1"/>
    </xf>
    <xf fontId="23" fillId="33" borderId="17" numFmtId="0" xfId="0" applyFont="1" applyFill="1" applyBorder="1" applyAlignment="1">
      <alignment vertical="center" wrapText="1"/>
    </xf>
    <xf fontId="21" fillId="33" borderId="0" numFmtId="165" xfId="0" applyNumberFormat="1" applyFont="1" applyFill="1"/>
    <xf fontId="21" fillId="33" borderId="0" numFmtId="4" xfId="0" applyNumberFormat="1" applyFont="1" applyFill="1"/>
    <xf fontId="21" fillId="33" borderId="10" numFmtId="4" xfId="0" applyNumberFormat="1" applyFont="1" applyFill="1" applyBorder="1"/>
    <xf fontId="21" fillId="33" borderId="18" numFmtId="0" xfId="0" applyFont="1" applyFill="1" applyBorder="1"/>
    <xf fontId="26" fillId="33" borderId="13" numFmtId="0" xfId="0" applyFont="1" applyFill="1" applyBorder="1" applyAlignment="1">
      <alignment horizontal="center" vertical="top" wrapText="1"/>
    </xf>
    <xf fontId="23" fillId="33" borderId="13" numFmtId="0" xfId="0" applyFont="1" applyFill="1" applyBorder="1" applyAlignment="1">
      <alignment horizontal="center" vertical="center" wrapText="1"/>
    </xf>
    <xf fontId="23" fillId="33" borderId="13" numFmtId="0" xfId="0" applyFont="1" applyFill="1" applyBorder="1" applyAlignment="1">
      <alignment horizontal="center" textRotation="90" vertical="center"/>
    </xf>
    <xf fontId="23" fillId="33" borderId="19" numFmtId="0" xfId="0" applyFont="1" applyFill="1" applyBorder="1" applyAlignment="1">
      <alignment vertical="center" wrapText="1"/>
    </xf>
    <xf fontId="21" fillId="33" borderId="18" numFmtId="4" xfId="0" applyNumberFormat="1" applyFont="1" applyFill="1" applyBorder="1"/>
    <xf fontId="21" fillId="33" borderId="18" numFmtId="164" xfId="0" applyNumberFormat="1" applyFont="1" applyFill="1" applyBorder="1"/>
    <xf fontId="23" fillId="33" borderId="13" numFmtId="164" xfId="0" applyNumberFormat="1" applyFont="1" applyFill="1" applyBorder="1" applyAlignment="1">
      <alignment horizontal="center" vertical="center" wrapText="1"/>
    </xf>
    <xf fontId="23" fillId="33" borderId="10" numFmtId="0" xfId="0" applyFont="1" applyFill="1" applyBorder="1" applyAlignment="1">
      <alignment horizontal="center" textRotation="90" vertical="center"/>
    </xf>
    <xf fontId="21" fillId="33" borderId="12" numFmtId="0" xfId="0" applyFont="1" applyFill="1" applyBorder="1"/>
    <xf fontId="21" fillId="33" borderId="10" numFmtId="0" xfId="0" applyFont="1" applyFill="1" applyBorder="1" applyAlignment="1">
      <alignment horizontal="center" vertical="center"/>
    </xf>
    <xf fontId="23" fillId="33" borderId="10" numFmtId="0" xfId="0" applyFont="1" applyFill="1" applyBorder="1" applyAlignment="1">
      <alignment horizontal="left" vertical="center" wrapText="1"/>
    </xf>
    <xf fontId="22" fillId="33" borderId="11" numFmtId="0" xfId="0" applyFont="1" applyFill="1" applyBorder="1" applyAlignment="1">
      <alignment horizontal="center" textRotation="90" vertical="center" wrapText="1"/>
    </xf>
    <xf fontId="22" fillId="33" borderId="12" numFmtId="0" xfId="0" applyFont="1" applyFill="1" applyBorder="1" applyAlignment="1">
      <alignment horizontal="center" textRotation="90" vertical="center" wrapText="1"/>
    </xf>
    <xf fontId="23" fillId="33" borderId="20" numFmtId="0" xfId="0" applyFont="1" applyFill="1" applyBorder="1" applyAlignment="1">
      <alignment horizontal="center" vertical="center" wrapText="1"/>
    </xf>
    <xf fontId="22" fillId="33" borderId="10" numFmtId="164" xfId="0" applyNumberFormat="1" applyFont="1" applyFill="1" applyBorder="1" applyAlignment="1">
      <alignment horizontal="center" vertical="center" wrapText="1"/>
    </xf>
    <xf fontId="21" fillId="33" borderId="10" numFmtId="166" xfId="0" applyNumberFormat="1" applyFont="1" applyFill="1" applyBorder="1"/>
    <xf fontId="21" fillId="33" borderId="0" numFmtId="3" xfId="0" applyNumberFormat="1" applyFont="1" applyFill="1"/>
    <xf fontId="22" fillId="33" borderId="10" numFmtId="0" xfId="0" applyFont="1" applyFill="1" applyBorder="1" applyAlignment="1">
      <alignment horizontal="left" vertical="center" wrapText="1"/>
    </xf>
    <xf fontId="7" fillId="33" borderId="0" numFmtId="0" xfId="0" applyFont="1" applyFill="1" applyAlignment="1">
      <alignment vertical="center"/>
    </xf>
    <xf fontId="0" fillId="33" borderId="0" numFmtId="164" xfId="0" applyNumberFormat="1" applyFill="1"/>
    <xf fontId="23" fillId="33" borderId="17" numFmtId="164" xfId="0" applyNumberFormat="1" applyFont="1" applyFill="1" applyBorder="1" applyAlignment="1">
      <alignment vertical="center" wrapText="1"/>
    </xf>
    <xf fontId="22" fillId="33" borderId="21" numFmtId="164" xfId="0" applyNumberFormat="1" applyFont="1" applyFill="1" applyBorder="1" applyAlignment="1">
      <alignment horizontal="center" vertical="center" wrapText="1"/>
    </xf>
    <xf fontId="22" fillId="33" borderId="15" numFmtId="164" xfId="0" applyNumberFormat="1" applyFont="1" applyFill="1" applyBorder="1" applyAlignment="1">
      <alignment horizontal="center" vertical="center" wrapText="1"/>
    </xf>
    <xf fontId="22" fillId="33" borderId="14" numFmtId="164" xfId="0" applyNumberFormat="1" applyFont="1" applyFill="1" applyBorder="1" applyAlignment="1">
      <alignment horizontal="center" vertical="center" wrapText="1"/>
    </xf>
    <xf fontId="22" fillId="33" borderId="12" numFmtId="0" xfId="0" applyFont="1" applyFill="1" applyBorder="1" applyAlignment="1">
      <alignment vertical="center" wrapText="1"/>
    </xf>
    <xf fontId="22" fillId="33" borderId="22" numFmtId="164" xfId="0" applyNumberFormat="1" applyFont="1" applyFill="1" applyBorder="1" applyAlignment="1">
      <alignment horizontal="center" vertical="center" wrapText="1"/>
    </xf>
    <xf fontId="22" fillId="33" borderId="0" numFmtId="164" xfId="0" applyNumberFormat="1" applyFont="1" applyFill="1" applyAlignment="1">
      <alignment horizontal="center" vertical="center" wrapText="1"/>
    </xf>
    <xf fontId="22" fillId="33" borderId="17" numFmtId="164" xfId="0" applyNumberFormat="1" applyFont="1" applyFill="1" applyBorder="1" applyAlignment="1">
      <alignment horizontal="center" vertical="center" wrapText="1"/>
    </xf>
    <xf fontId="22" fillId="33" borderId="23" numFmtId="164" xfId="0" applyNumberFormat="1" applyFont="1" applyFill="1" applyBorder="1" applyAlignment="1">
      <alignment horizontal="center" vertical="center" wrapText="1"/>
    </xf>
    <xf fontId="22" fillId="33" borderId="18" numFmtId="164" xfId="0" applyNumberFormat="1" applyFont="1" applyFill="1" applyBorder="1" applyAlignment="1">
      <alignment horizontal="center" vertical="center" wrapText="1"/>
    </xf>
    <xf fontId="22" fillId="33" borderId="19" numFmtId="164" xfId="0" applyNumberFormat="1" applyFont="1" applyFill="1" applyBorder="1" applyAlignment="1">
      <alignment horizontal="center" vertical="center" wrapText="1"/>
    </xf>
    <xf fontId="22" fillId="33" borderId="11" numFmtId="0" xfId="0" applyFont="1" applyFill="1" applyBorder="1" applyAlignment="1">
      <alignment horizontal="left" vertical="center" wrapText="1"/>
    </xf>
    <xf fontId="22" fillId="33" borderId="11" numFmtId="0" xfId="0" applyFont="1" applyFill="1" applyBorder="1" applyAlignment="1">
      <alignment vertical="center" wrapText="1"/>
    </xf>
    <xf fontId="22" fillId="33" borderId="12" numFmtId="0" xfId="0" applyFont="1" applyFill="1" applyBorder="1" applyAlignment="1">
      <alignment horizontal="left" vertical="center" wrapText="1"/>
    </xf>
    <xf fontId="22" fillId="33" borderId="13" numFmtId="0" xfId="0" applyFont="1" applyFill="1" applyBorder="1" applyAlignment="1">
      <alignment horizontal="left" vertical="center" wrapText="1"/>
    </xf>
    <xf fontId="22" fillId="33" borderId="13" numFmtId="0" xfId="0" applyFont="1" applyFill="1" applyBorder="1" applyAlignment="1">
      <alignment horizontal="center" textRotation="90" vertical="center" wrapText="1"/>
    </xf>
    <xf fontId="0" fillId="33" borderId="12" numFmtId="0" xfId="0" applyFill="1" applyBorder="1" applyAlignment="1">
      <alignment horizontal="center" vertical="center" wrapText="1"/>
    </xf>
    <xf fontId="23" fillId="33" borderId="11" numFmtId="0" xfId="0" applyFont="1" applyFill="1" applyBorder="1" applyAlignment="1">
      <alignment horizontal="left" vertical="center" wrapText="1"/>
    </xf>
    <xf fontId="23" fillId="33" borderId="12" numFmtId="0" xfId="0" applyFont="1" applyFill="1" applyBorder="1" applyAlignment="1">
      <alignment horizontal="left" vertical="center" wrapText="1"/>
    </xf>
    <xf fontId="21" fillId="33" borderId="0" numFmtId="1" xfId="0" applyNumberFormat="1" applyFont="1" applyFill="1"/>
    <xf fontId="23" fillId="33" borderId="13" numFmtId="0" xfId="0" applyFont="1" applyFill="1" applyBorder="1" applyAlignment="1">
      <alignment horizontal="left" vertical="center" wrapText="1"/>
    </xf>
    <xf fontId="22" fillId="33" borderId="17" numFmtId="0" xfId="0" applyFont="1" applyFill="1" applyBorder="1" applyAlignment="1">
      <alignment vertical="center" wrapText="1"/>
    </xf>
    <xf fontId="0" fillId="33" borderId="13" numFmtId="0" xfId="0" applyFill="1" applyBorder="1" applyAlignment="1">
      <alignment horizontal="center" vertical="center" wrapText="1"/>
    </xf>
    <xf fontId="27" fillId="33" borderId="21" numFmtId="0" xfId="0" applyFont="1" applyFill="1" applyBorder="1" applyAlignment="1">
      <alignment horizontal="center" vertical="center" wrapText="1"/>
    </xf>
    <xf fontId="27" fillId="33" borderId="14" numFmtId="0" xfId="0" applyFont="1" applyFill="1" applyBorder="1" applyAlignment="1">
      <alignment horizontal="center" vertical="center" wrapText="1"/>
    </xf>
    <xf fontId="27" fillId="33" borderId="22" numFmtId="0" xfId="0" applyFont="1" applyFill="1" applyBorder="1" applyAlignment="1">
      <alignment horizontal="center" vertical="center" wrapText="1"/>
    </xf>
    <xf fontId="27" fillId="33" borderId="17" numFmtId="0" xfId="0" applyFont="1" applyFill="1" applyBorder="1" applyAlignment="1">
      <alignment horizontal="center" vertical="center" wrapText="1"/>
    </xf>
    <xf fontId="27" fillId="33" borderId="23" numFmtId="0" xfId="0" applyFont="1" applyFill="1" applyBorder="1" applyAlignment="1">
      <alignment horizontal="center" vertical="center" wrapText="1"/>
    </xf>
    <xf fontId="27" fillId="33" borderId="19" numFmtId="0" xfId="0" applyFont="1" applyFill="1" applyBorder="1" applyAlignment="1">
      <alignment horizontal="center" vertical="center" wrapText="1"/>
    </xf>
    <xf fontId="21" fillId="33" borderId="0" numFmtId="1" xfId="0" applyNumberFormat="1" applyFont="1" applyFill="1" applyAlignment="1">
      <alignment horizontal="center"/>
    </xf>
    <xf fontId="7" fillId="33" borderId="10" numFmtId="0" xfId="0" applyFont="1" applyFill="1" applyBorder="1" applyAlignment="1">
      <alignment horizontal="center" vertical="center"/>
    </xf>
    <xf fontId="22" fillId="33" borderId="16" numFmtId="164" xfId="0" applyNumberFormat="1" applyFont="1" applyFill="1" applyBorder="1" applyAlignment="1">
      <alignment horizontal="center" vertical="center" wrapText="1"/>
    </xf>
    <xf fontId="22" fillId="33" borderId="24" numFmtId="164" xfId="0" applyNumberFormat="1" applyFont="1" applyFill="1" applyBorder="1" applyAlignment="1">
      <alignment horizontal="center" vertical="center" wrapText="1"/>
    </xf>
    <xf fontId="22" fillId="33" borderId="20" numFmtId="164" xfId="0" applyNumberFormat="1" applyFont="1" applyFill="1" applyBorder="1" applyAlignment="1">
      <alignment horizontal="center" vertical="center" wrapText="1"/>
    </xf>
    <xf fontId="0" fillId="33" borderId="11" numFmtId="0" xfId="0" applyFill="1" applyBorder="1" applyAlignment="1">
      <alignment horizontal="center" vertical="center"/>
    </xf>
    <xf fontId="0" fillId="33" borderId="12" numFmtId="0" xfId="0" applyFill="1" applyBorder="1" applyAlignment="1">
      <alignment horizontal="center" vertical="center"/>
    </xf>
    <xf fontId="22" fillId="33" borderId="13" numFmtId="0" xfId="0" applyFont="1" applyFill="1" applyBorder="1" applyAlignment="1">
      <alignment vertical="center" wrapText="1"/>
    </xf>
    <xf fontId="0" fillId="33" borderId="0" numFmtId="0" xfId="0" applyFill="1" applyAlignment="1">
      <alignment vertical="center"/>
    </xf>
    <xf fontId="21" fillId="33" borderId="0" numFmtId="0" xfId="0" applyFont="1" applyFill="1" applyAlignment="1">
      <alignment vertical="center"/>
    </xf>
    <xf fontId="22" fillId="33" borderId="10" numFmtId="0" xfId="0" applyFont="1" applyFill="1" applyBorder="1" applyAlignment="1">
      <alignment horizontal="center" textRotation="90" vertical="center" wrapText="1"/>
    </xf>
    <xf fontId="22" fillId="33" borderId="21" numFmtId="0" xfId="0" applyFont="1" applyFill="1" applyBorder="1" applyAlignment="1">
      <alignment horizontal="center" vertical="center" wrapText="1"/>
    </xf>
    <xf fontId="22" fillId="33" borderId="14" numFmtId="0" xfId="0" applyFont="1" applyFill="1" applyBorder="1" applyAlignment="1">
      <alignment horizontal="center" vertical="center" wrapText="1"/>
    </xf>
    <xf fontId="22" fillId="33" borderId="22" numFmtId="0" xfId="0" applyFont="1" applyFill="1" applyBorder="1" applyAlignment="1">
      <alignment horizontal="center" vertical="center" wrapText="1"/>
    </xf>
    <xf fontId="22" fillId="33" borderId="17" numFmtId="0" xfId="0" applyFont="1" applyFill="1" applyBorder="1" applyAlignment="1">
      <alignment horizontal="center" vertical="center" wrapText="1"/>
    </xf>
    <xf fontId="22" fillId="33" borderId="23" numFmtId="0" xfId="0" applyFont="1" applyFill="1" applyBorder="1" applyAlignment="1">
      <alignment horizontal="center" vertical="center" wrapText="1"/>
    </xf>
    <xf fontId="22" fillId="33" borderId="19" numFmtId="0" xfId="0" applyFont="1" applyFill="1" applyBorder="1" applyAlignment="1">
      <alignment horizontal="center" vertical="center" wrapText="1"/>
    </xf>
    <xf fontId="21" fillId="33" borderId="10" numFmtId="164" xfId="0" applyNumberFormat="1" applyFont="1" applyFill="1" applyBorder="1"/>
    <xf fontId="7" fillId="33" borderId="11" numFmtId="0" xfId="0" applyFont="1" applyFill="1" applyBorder="1" applyAlignment="1">
      <alignment horizontal="center" vertical="center"/>
    </xf>
    <xf fontId="7" fillId="33" borderId="12" numFmtId="0" xfId="0" applyFont="1" applyFill="1" applyBorder="1" applyAlignment="1">
      <alignment horizontal="center" vertical="center"/>
    </xf>
    <xf fontId="7" fillId="33" borderId="13" numFmtId="0" xfId="0" applyFont="1" applyFill="1" applyBorder="1" applyAlignment="1">
      <alignment horizontal="center" vertical="center"/>
    </xf>
    <xf fontId="22" fillId="33" borderId="12" numFmtId="0" xfId="0" applyFont="1" applyFill="1" applyBorder="1" applyAlignment="1">
      <alignment textRotation="90" vertical="center" wrapText="1"/>
    </xf>
    <xf fontId="21" fillId="33" borderId="10" numFmtId="0" xfId="0" applyFont="1" applyFill="1" applyBorder="1"/>
    <xf fontId="21" fillId="33" borderId="10" numFmtId="1" xfId="0" applyNumberFormat="1" applyFont="1" applyFill="1" applyBorder="1"/>
    <xf fontId="21" fillId="33" borderId="10" numFmtId="1" xfId="0" applyNumberFormat="1" applyFont="1" applyFill="1" applyBorder="1" applyAlignment="1">
      <alignment horizontal="center"/>
    </xf>
    <xf fontId="22" fillId="33" borderId="13" numFmtId="0" xfId="0" applyFont="1" applyFill="1" applyBorder="1" applyAlignment="1">
      <alignment textRotation="90" vertical="center" wrapText="1"/>
    </xf>
    <xf fontId="21" fillId="33" borderId="11" numFmtId="0" xfId="0" applyFont="1" applyFill="1" applyBorder="1" applyAlignment="1">
      <alignment horizontal="center" vertical="center"/>
    </xf>
    <xf fontId="21" fillId="33" borderId="12" numFmtId="0" xfId="0" applyFont="1" applyFill="1" applyBorder="1" applyAlignment="1">
      <alignment horizontal="center" vertical="center"/>
    </xf>
    <xf fontId="21" fillId="33" borderId="13" numFmtId="0" xfId="0" applyFont="1" applyFill="1" applyBorder="1" applyAlignment="1">
      <alignment horizontal="center" vertical="center"/>
    </xf>
    <xf fontId="0" fillId="33" borderId="10" numFmtId="164" xfId="0" applyNumberFormat="1" applyFill="1" applyBorder="1" applyAlignment="1">
      <alignment horizontal="center" vertical="center"/>
    </xf>
    <xf fontId="0" fillId="33" borderId="0" numFmtId="0" xfId="0" applyFill="1" applyAlignment="1">
      <alignment wrapText="1"/>
    </xf>
    <xf fontId="0" fillId="33" borderId="0" numFmtId="0" xfId="0" applyFill="1" applyAlignment="1">
      <alignment horizontal="left" wrapText="1"/>
    </xf>
    <xf fontId="0" fillId="33" borderId="0" numFmtId="0" xfId="0" applyFill="1" applyAlignment="1">
      <alignment horizontal="center" vertical="center" wrapText="1"/>
    </xf>
    <xf fontId="21" fillId="33" borderId="0" numFmtId="0" xfId="0" applyFont="1" applyFill="1" applyAlignment="1">
      <alignment horizontal="center" vertical="center" wrapText="1"/>
    </xf>
    <xf fontId="0" fillId="33" borderId="0" numFmtId="164" xfId="0" applyNumberFormat="1" applyFill="1" applyAlignment="1">
      <alignment horizontal="center" vertical="center"/>
    </xf>
  </cellXfs>
  <cellStyles count="49">
    <cellStyle name="20% - Акцент1" xfId="1" builtinId="30"/>
    <cellStyle name="20% - Акцент2" xfId="2" builtinId="34"/>
    <cellStyle name="20% - Акцент3" xfId="3" builtinId="38"/>
    <cellStyle name="20% - Акцент4" xfId="4" builtinId="42"/>
    <cellStyle name="20% - Акцент5" xfId="5" builtinId="46"/>
    <cellStyle name="20% - Акцент6" xfId="6" builtinId="50"/>
    <cellStyle name="40% - Акцент1" xfId="7" builtinId="31"/>
    <cellStyle name="40% - Акцент2" xfId="8" builtinId="35"/>
    <cellStyle name="40% - Акцент3" xfId="9" builtinId="39"/>
    <cellStyle name="40% - Акцент4" xfId="10" builtinId="43"/>
    <cellStyle name="40% - Акцент5" xfId="11" builtinId="47"/>
    <cellStyle name="40% - Акцент6" xfId="12" builtinId="51"/>
    <cellStyle name="60% - Акцент1" xfId="13" builtinId="32"/>
    <cellStyle name="60% - Акцент2" xfId="14" builtinId="36"/>
    <cellStyle name="60% - Акцент3" xfId="15" builtinId="40"/>
    <cellStyle name="60% - Акцент4" xfId="16" builtinId="44"/>
    <cellStyle name="60% - Акцент5" xfId="17" builtinId="48"/>
    <cellStyle name="60% -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Гиперссылка" xfId="28" builtinId="8"/>
    <cellStyle name="Денежный" xfId="29" builtinId="4"/>
    <cellStyle name="Денежный [0]" xfId="30" builtinId="7"/>
    <cellStyle name="Заголовок 1" xfId="31" builtinId="16"/>
    <cellStyle name="Заголовок 2" xfId="32" builtinId="17"/>
    <cellStyle name="Заголовок 3" xfId="33" builtinId="18"/>
    <cellStyle name="Заголовок 4" xfId="34" builtinId="19"/>
    <cellStyle name="Итог" xfId="35" builtinId="25"/>
    <cellStyle name="Контрольная ячейка" xfId="36" builtinId="23"/>
    <cellStyle name="Название" xfId="37" builtinId="15"/>
    <cellStyle name="Нейтральный" xfId="38" builtinId="28"/>
    <cellStyle name="Обычный" xfId="0" builtinId="0"/>
    <cellStyle name="Открывавшаяся гиперссылка" xfId="39" builtinId="9"/>
    <cellStyle name="Плохой" xfId="40" builtinId="27"/>
    <cellStyle name="Пояснение" xfId="41" builtinId="53"/>
    <cellStyle name="Примечание" xfId="42" builtinId="10"/>
    <cellStyle name="Процентный" xfId="43" builtinId="5"/>
    <cellStyle name="Связанная ячейка" xfId="44" builtinId="24"/>
    <cellStyle name="Текст предупреждения" xfId="45" builtinId="11"/>
    <cellStyle name="Финансовый" xfId="46" builtinId="3"/>
    <cellStyle name="Финансовый [0]" xfId="47" builtinId="6"/>
    <cellStyle name="Хороший" xfId="48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hatalina" id="{EE7248EC-444E-7C17-1B22-AFFBD6E5387A}"/>
  <person displayName="Володина Лидия Михайловна" id="{58024DF6-C99D-1964-CB9D-EC692728641E}"/>
  <person displayName="Шаталина Татьяна Евгеньевна" id="{783E67AE-9166-407E-ECE7-F09E061E7629}"/>
</personList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68" personId="{58024DF6-C99D-1964-CB9D-EC692728641E}" id="{00750043-0080-4309-BF05-007A00990079}" done="0">
    <text xml:space="preserve">Софинансирование, подали заявку.
</text>
  </threadedComment>
  <threadedComment ref="J334" personId="{783E67AE-9166-407E-ECE7-F09E061E7629}" id="{0078008C-00EB-47E4-95CC-005E00A400F5}" done="0">
    <text xml:space="preserve">890 фнр к дню победы
</text>
  </threadedComment>
  <threadedComment ref="I185" personId="{58024DF6-C99D-1964-CB9D-EC692728641E}" id="{006B005C-00C6-4EBC-8A4E-00C500600098}" done="0">
    <text xml:space="preserve">Для софинансирования 418,0
</text>
  </threadedComment>
  <threadedComment ref="M185" personId="{58024DF6-C99D-1964-CB9D-EC692728641E}" id="{004E0033-000F-4165-97C7-006F00B600E8}" done="0">
    <text xml:space="preserve">Софинансирование, заявку подали.
</text>
  </threadedComment>
  <threadedComment ref="O69" personId="{EE7248EC-444E-7C17-1B22-AFFBD6E5387A}" id="{00720076-007B-4379-9B84-00C5000400F1}" done="0">
    <text xml:space="preserve">c ост. на нач года
</text>
  </threadedComment>
</ThreadedComments>
</file>

<file path=xl/worksheets/_rels/sheet1.xml.rels><?xml version="1.0" encoding="UTF-8" standalone="yes"?><Relationships xmlns="http://schemas.openxmlformats.org/package/2006/relationships"><Relationship  Id="rId3" Type="http://schemas.openxmlformats.org/officeDocument/2006/relationships/vmlDrawing" Target="../drawings/vmlDrawing1.vml"/><Relationship  Id="rId2" Type="http://schemas.openxmlformats.org/officeDocument/2006/relationships/comments" Target="../comments1.xml"/><Relationship  Id="rId1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V37" activeCellId="0" sqref="V1:X16384"/>
    </sheetView>
  </sheetViews>
  <sheetFormatPr baseColWidth="8" defaultRowHeight="15.75" customHeight="1"/>
  <cols>
    <col customWidth="1" min="1" max="1" style="1" width="3.875"/>
    <col customWidth="1" min="2" max="2" style="2" width="16.5"/>
    <col customWidth="1" min="3" max="3" style="3" width="18.125"/>
    <col customWidth="1" min="4" max="4" style="3" width="5.25"/>
    <col customWidth="1" min="5" max="5" style="3" width="9.625"/>
    <col bestFit="1" customWidth="1" min="6" max="6" style="3" width="13.125"/>
    <col customWidth="1" min="7" max="7" style="4" width="11.5"/>
    <col customWidth="1" min="8" max="8" style="4" width="11.25"/>
    <col customWidth="1" min="9" max="9" style="3" width="11"/>
    <col customWidth="1" min="10" max="11" style="3" width="11.75"/>
    <col customWidth="1" min="12" max="12" style="3" width="7.75"/>
    <col customWidth="1" min="13" max="13" style="3" width="10.75"/>
    <col customWidth="1" min="14" max="15" style="3" width="9.875"/>
    <col bestFit="1" customWidth="1" min="16" max="16" style="3" width="8"/>
    <col customWidth="1" min="17" max="17" style="5" width="9.875"/>
    <col customWidth="1" hidden="1" min="18" max="18" style="1" width="8"/>
    <col customWidth="1" hidden="1" min="19" max="19" style="1" width="13.875"/>
    <col customWidth="1" hidden="1" min="20" max="20" style="1" width="10.5"/>
    <col customWidth="1" hidden="1" min="21" max="21" style="1" width="12.75"/>
    <col customWidth="1" hidden="1" min="22" max="22" style="1" width="19.125"/>
    <col customWidth="1" hidden="1" min="23" max="29" style="1" width="19.25"/>
    <col customWidth="1" hidden="1" min="30" max="30" style="1" width="10.125"/>
    <col hidden="1" min="31" max="31" style="1" width="0"/>
    <col customWidth="1" hidden="1" min="32" max="32" style="1" width="10.125"/>
    <col customWidth="1" hidden="1" min="33" max="33" style="1" width="9.75"/>
    <col customWidth="1" hidden="1" min="34" max="34" style="1" width="9.125"/>
    <col customWidth="1" hidden="1" min="35" max="183" style="1" width="9"/>
    <col customWidth="1" min="184" max="257" style="1" width="9"/>
    <col min="258" max="16384" style="1" width="9.00390625"/>
  </cols>
  <sheetData>
    <row r="1" ht="15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ht="15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ht="15.75">
      <c r="A3" s="8"/>
      <c r="N3" s="9" t="s">
        <v>2</v>
      </c>
      <c r="O3" s="9"/>
      <c r="P3" s="9"/>
      <c r="Q3" s="9"/>
    </row>
    <row r="4" ht="15.75">
      <c r="A4" s="8"/>
      <c r="N4" s="9"/>
      <c r="O4" s="9"/>
      <c r="P4" s="9"/>
      <c r="Q4" s="9"/>
    </row>
    <row r="5" ht="15.75">
      <c r="A5" s="8"/>
      <c r="N5" s="9"/>
      <c r="O5" s="9"/>
      <c r="P5" s="9"/>
      <c r="Q5" s="9"/>
    </row>
    <row r="6" ht="63" customHeight="1">
      <c r="A6" s="8"/>
      <c r="N6" s="9"/>
      <c r="O6" s="9"/>
      <c r="P6" s="9"/>
      <c r="Q6" s="9"/>
    </row>
    <row r="7" ht="15.75">
      <c r="A7" s="10"/>
    </row>
    <row r="8" ht="15.7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ht="15.75">
      <c r="A9" s="10"/>
    </row>
    <row r="10" ht="15.75" hidden="1">
      <c r="A10" s="10"/>
    </row>
    <row r="11" ht="15.75">
      <c r="A11" s="10"/>
    </row>
    <row r="12" ht="15.75">
      <c r="A12" s="11" t="s">
        <v>4</v>
      </c>
      <c r="B12" s="12" t="s">
        <v>5</v>
      </c>
      <c r="C12" s="12" t="s">
        <v>6</v>
      </c>
      <c r="D12" s="12" t="s">
        <v>7</v>
      </c>
      <c r="E12" s="12" t="s">
        <v>8</v>
      </c>
      <c r="F12" s="11" t="s">
        <v>9</v>
      </c>
      <c r="G12" s="13" t="s">
        <v>10</v>
      </c>
      <c r="H12" s="13"/>
      <c r="I12" s="11" t="s">
        <v>11</v>
      </c>
      <c r="J12" s="11"/>
      <c r="K12" s="11"/>
      <c r="L12" s="11"/>
      <c r="M12" s="11"/>
      <c r="N12" s="11"/>
      <c r="O12" s="11"/>
      <c r="P12" s="11"/>
      <c r="Q12" s="11" t="s">
        <v>12</v>
      </c>
    </row>
    <row r="13" ht="95.25" customHeight="1">
      <c r="A13" s="11"/>
      <c r="B13" s="14"/>
      <c r="C13" s="14"/>
      <c r="D13" s="14"/>
      <c r="E13" s="14"/>
      <c r="F13" s="11"/>
      <c r="G13" s="13"/>
      <c r="H13" s="13"/>
      <c r="I13" s="11" t="s">
        <v>13</v>
      </c>
      <c r="J13" s="11"/>
      <c r="K13" s="11" t="s">
        <v>14</v>
      </c>
      <c r="L13" s="11"/>
      <c r="M13" s="11" t="s">
        <v>15</v>
      </c>
      <c r="N13" s="11"/>
      <c r="O13" s="11" t="s">
        <v>16</v>
      </c>
      <c r="P13" s="11"/>
      <c r="Q13" s="11"/>
      <c r="R13" s="15"/>
    </row>
    <row r="14" ht="91.900000000000006" customHeight="1">
      <c r="A14" s="11"/>
      <c r="B14" s="16"/>
      <c r="C14" s="16"/>
      <c r="D14" s="16"/>
      <c r="E14" s="16"/>
      <c r="F14" s="11"/>
      <c r="G14" s="11" t="s">
        <v>17</v>
      </c>
      <c r="H14" s="11" t="s">
        <v>18</v>
      </c>
      <c r="I14" s="11" t="s">
        <v>17</v>
      </c>
      <c r="J14" s="11" t="s">
        <v>18</v>
      </c>
      <c r="K14" s="11" t="s">
        <v>17</v>
      </c>
      <c r="L14" s="11" t="s">
        <v>18</v>
      </c>
      <c r="M14" s="11" t="s">
        <v>17</v>
      </c>
      <c r="N14" s="11" t="s">
        <v>18</v>
      </c>
      <c r="O14" s="11" t="s">
        <v>17</v>
      </c>
      <c r="P14" s="11" t="s">
        <v>19</v>
      </c>
      <c r="Q14" s="11"/>
      <c r="R14" s="15"/>
    </row>
    <row r="15" s="8" customFormat="1" ht="45" customHeight="1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1">
        <v>15</v>
      </c>
      <c r="P15" s="11">
        <v>16</v>
      </c>
      <c r="Q15" s="11">
        <v>17</v>
      </c>
      <c r="R15" s="17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</row>
    <row r="16" s="3" customFormat="1">
      <c r="A16" s="18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</row>
    <row r="17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5"/>
    </row>
    <row r="18" ht="16.5" hidden="1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5"/>
    </row>
    <row r="19" s="20" customFormat="1" ht="16.5" customHeight="1">
      <c r="A19" s="21"/>
      <c r="B19" s="22" t="s">
        <v>21</v>
      </c>
      <c r="C19" s="4"/>
      <c r="D19" s="4"/>
      <c r="E19" s="4"/>
      <c r="F19" s="13" t="s">
        <v>22</v>
      </c>
      <c r="G19" s="23">
        <f>SUM(G20:G30)</f>
        <v>3726093.6859999998</v>
      </c>
      <c r="H19" s="23">
        <f t="shared" ref="H19:P19" si="0">SUM(H20:H30)</f>
        <v>3035555.8259999999</v>
      </c>
      <c r="I19" s="23">
        <f t="shared" si="0"/>
        <v>2404516.3700000001</v>
      </c>
      <c r="J19" s="23">
        <f t="shared" si="0"/>
        <v>2084730.3300000001</v>
      </c>
      <c r="K19" s="23">
        <f t="shared" si="0"/>
        <v>3525.2000000000003</v>
      </c>
      <c r="L19" s="23">
        <f t="shared" si="0"/>
        <v>1367.4000000000001</v>
      </c>
      <c r="M19" s="23">
        <f t="shared" si="0"/>
        <v>948673.79599999986</v>
      </c>
      <c r="N19" s="23">
        <f t="shared" si="0"/>
        <v>580079.77599999984</v>
      </c>
      <c r="O19" s="23">
        <f t="shared" si="0"/>
        <v>369378.31999999995</v>
      </c>
      <c r="P19" s="23">
        <f t="shared" si="0"/>
        <v>369378.31999999995</v>
      </c>
      <c r="Q19" s="24" t="s">
        <v>23</v>
      </c>
      <c r="R19" s="25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</row>
    <row r="20" s="26" customFormat="1" ht="57" customHeight="1">
      <c r="A20" s="27"/>
      <c r="B20" s="28"/>
      <c r="F20" s="22" t="s">
        <v>24</v>
      </c>
      <c r="G20" s="29">
        <f t="shared" ref="G20:G30" si="1">I20+K20+M20+O20</f>
        <v>243155.5</v>
      </c>
      <c r="H20" s="29">
        <f t="shared" ref="H20:H30" si="2">J20+L20+N20+P20</f>
        <v>207312.20000000001</v>
      </c>
      <c r="I20" s="29">
        <f t="shared" ref="I20:P22" si="3">I56+I118+I249</f>
        <v>170316.79999999999</v>
      </c>
      <c r="J20" s="29">
        <f t="shared" si="3"/>
        <v>138477.5</v>
      </c>
      <c r="K20" s="29">
        <f t="shared" si="3"/>
        <v>725</v>
      </c>
      <c r="L20" s="29">
        <f t="shared" si="3"/>
        <v>0</v>
      </c>
      <c r="M20" s="29">
        <f t="shared" si="3"/>
        <v>42070</v>
      </c>
      <c r="N20" s="29">
        <f t="shared" si="3"/>
        <v>38791</v>
      </c>
      <c r="O20" s="29">
        <f t="shared" si="3"/>
        <v>30043.699999999997</v>
      </c>
      <c r="P20" s="29">
        <f t="shared" si="3"/>
        <v>30043.699999999997</v>
      </c>
      <c r="Q20" s="30"/>
      <c r="R20" s="31"/>
      <c r="AH20" s="32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</row>
    <row r="21" s="33" customFormat="1" ht="81" customHeight="1">
      <c r="A21" s="27"/>
      <c r="B21" s="28"/>
      <c r="C21" s="34" t="s">
        <v>25</v>
      </c>
      <c r="D21" s="22"/>
      <c r="E21" s="22"/>
      <c r="F21" s="13" t="s">
        <v>26</v>
      </c>
      <c r="G21" s="23">
        <f t="shared" si="1"/>
        <v>234210.14999999997</v>
      </c>
      <c r="H21" s="23">
        <f t="shared" si="2"/>
        <v>219554.23999999999</v>
      </c>
      <c r="I21" s="23">
        <f t="shared" si="3"/>
        <v>156692.44999999998</v>
      </c>
      <c r="J21" s="23">
        <f t="shared" si="3"/>
        <v>146006.53999999998</v>
      </c>
      <c r="K21" s="23">
        <f t="shared" si="3"/>
        <v>797.5</v>
      </c>
      <c r="L21" s="23">
        <f t="shared" si="3"/>
        <v>0</v>
      </c>
      <c r="M21" s="23">
        <f t="shared" si="3"/>
        <v>40827.400000000001</v>
      </c>
      <c r="N21" s="23">
        <f t="shared" si="3"/>
        <v>37654.900000000001</v>
      </c>
      <c r="O21" s="23">
        <f t="shared" si="3"/>
        <v>35892.800000000003</v>
      </c>
      <c r="P21" s="23">
        <f t="shared" si="3"/>
        <v>35892.800000000003</v>
      </c>
      <c r="Q21" s="30"/>
      <c r="R21" s="31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</row>
    <row r="22" s="26" customFormat="1" ht="15.6" customHeight="1">
      <c r="A22" s="27"/>
      <c r="B22" s="28"/>
      <c r="C22" s="34"/>
      <c r="D22" s="28"/>
      <c r="E22" s="28"/>
      <c r="F22" s="13" t="s">
        <v>27</v>
      </c>
      <c r="G22" s="23">
        <f t="shared" si="1"/>
        <v>278338.59600000002</v>
      </c>
      <c r="H22" s="23">
        <f t="shared" si="2"/>
        <v>270093.196</v>
      </c>
      <c r="I22" s="23">
        <f t="shared" si="3"/>
        <v>164042.5</v>
      </c>
      <c r="J22" s="23">
        <f t="shared" si="3"/>
        <v>157321.79999999999</v>
      </c>
      <c r="K22" s="23">
        <f t="shared" si="3"/>
        <v>635.29999999999995</v>
      </c>
      <c r="L22" s="23">
        <f t="shared" si="3"/>
        <v>0</v>
      </c>
      <c r="M22" s="23">
        <f t="shared" si="3"/>
        <v>72734.296000000002</v>
      </c>
      <c r="N22" s="23">
        <f t="shared" si="3"/>
        <v>71844.895999999993</v>
      </c>
      <c r="O22" s="23">
        <f t="shared" si="3"/>
        <v>40926.5</v>
      </c>
      <c r="P22" s="23">
        <f t="shared" si="3"/>
        <v>40926.5</v>
      </c>
      <c r="Q22" s="30"/>
      <c r="R22" s="35"/>
      <c r="T22" s="36"/>
      <c r="U22" s="36"/>
      <c r="Y22" s="37"/>
      <c r="Z22" s="37"/>
      <c r="AB22" s="37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</row>
    <row r="23" s="26" customFormat="1">
      <c r="A23" s="27"/>
      <c r="B23" s="28"/>
      <c r="C23" s="34"/>
      <c r="D23" s="28"/>
      <c r="E23" s="28"/>
      <c r="F23" s="13" t="s">
        <v>28</v>
      </c>
      <c r="G23" s="23">
        <f t="shared" si="1"/>
        <v>312004.59999999998</v>
      </c>
      <c r="H23" s="23">
        <f t="shared" si="2"/>
        <v>299953</v>
      </c>
      <c r="I23" s="23">
        <f t="shared" ref="I23:P30" si="4">I59+I121+I252+I404</f>
        <v>174340.5</v>
      </c>
      <c r="J23" s="23">
        <f t="shared" si="4"/>
        <v>162288.90000000002</v>
      </c>
      <c r="K23" s="23">
        <f t="shared" si="4"/>
        <v>518.5</v>
      </c>
      <c r="L23" s="23">
        <f t="shared" si="4"/>
        <v>518.5</v>
      </c>
      <c r="M23" s="23">
        <f t="shared" si="4"/>
        <v>98216.800000000003</v>
      </c>
      <c r="N23" s="23">
        <f t="shared" si="4"/>
        <v>98216.800000000003</v>
      </c>
      <c r="O23" s="23">
        <f t="shared" si="4"/>
        <v>38928.800000000003</v>
      </c>
      <c r="P23" s="23">
        <f t="shared" si="4"/>
        <v>38928.800000000003</v>
      </c>
      <c r="Q23" s="30"/>
      <c r="R23" s="35"/>
      <c r="S23" s="37"/>
      <c r="T23" s="37"/>
      <c r="U23" s="37"/>
      <c r="W23" s="37"/>
      <c r="X23" s="37"/>
      <c r="AC23" s="37"/>
      <c r="AD23" s="37"/>
      <c r="AF23" s="37"/>
      <c r="AG23" s="37"/>
      <c r="AH23" s="32"/>
      <c r="AI23" s="32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</row>
    <row r="24" s="26" customFormat="1">
      <c r="A24" s="27"/>
      <c r="B24" s="28"/>
      <c r="C24" s="34"/>
      <c r="D24" s="28"/>
      <c r="E24" s="28"/>
      <c r="F24" s="13" t="s">
        <v>29</v>
      </c>
      <c r="G24" s="23">
        <f t="shared" si="1"/>
        <v>315757.40000000002</v>
      </c>
      <c r="H24" s="23">
        <f t="shared" si="2"/>
        <v>309435.20000000001</v>
      </c>
      <c r="I24" s="23">
        <f t="shared" si="4"/>
        <v>176014.09999999998</v>
      </c>
      <c r="J24" s="23">
        <f>J60+J122+J253+J405</f>
        <v>170764.59999999998</v>
      </c>
      <c r="K24" s="23">
        <f t="shared" si="4"/>
        <v>0</v>
      </c>
      <c r="L24" s="23">
        <f t="shared" si="4"/>
        <v>0</v>
      </c>
      <c r="M24" s="23">
        <f t="shared" si="4"/>
        <v>99397.899999999994</v>
      </c>
      <c r="N24" s="23">
        <f t="shared" si="4"/>
        <v>98325.199999999997</v>
      </c>
      <c r="O24" s="23">
        <f t="shared" si="4"/>
        <v>40345.400000000001</v>
      </c>
      <c r="P24" s="23">
        <f t="shared" si="4"/>
        <v>40345.400000000001</v>
      </c>
      <c r="Q24" s="30"/>
      <c r="R24" s="35"/>
      <c r="S24" s="37"/>
      <c r="T24" s="37"/>
      <c r="U24" s="37"/>
      <c r="W24" s="37"/>
      <c r="X24" s="37"/>
      <c r="Y24" s="32"/>
      <c r="Z24" s="32"/>
      <c r="AA24" s="32"/>
      <c r="AC24" s="37"/>
      <c r="AD24" s="37"/>
      <c r="AH24" s="32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</row>
    <row r="25" s="26" customFormat="1">
      <c r="A25" s="27"/>
      <c r="B25" s="28"/>
      <c r="C25" s="34"/>
      <c r="D25" s="28"/>
      <c r="E25" s="28"/>
      <c r="F25" s="13" t="s">
        <v>30</v>
      </c>
      <c r="G25" s="23">
        <f t="shared" si="1"/>
        <v>338881.17999999999</v>
      </c>
      <c r="H25" s="23">
        <f t="shared" si="2"/>
        <v>284990.72000000003</v>
      </c>
      <c r="I25" s="23">
        <f t="shared" si="4"/>
        <v>216555.28</v>
      </c>
      <c r="J25" s="23">
        <f t="shared" si="4"/>
        <v>190968.82000000001</v>
      </c>
      <c r="K25" s="23">
        <f t="shared" si="4"/>
        <v>0</v>
      </c>
      <c r="L25" s="23">
        <f t="shared" si="4"/>
        <v>0</v>
      </c>
      <c r="M25" s="23">
        <f t="shared" si="4"/>
        <v>98844.700000000012</v>
      </c>
      <c r="N25" s="23">
        <f t="shared" si="4"/>
        <v>70540.699999999997</v>
      </c>
      <c r="O25" s="23">
        <f t="shared" si="4"/>
        <v>23481.200000000001</v>
      </c>
      <c r="P25" s="23">
        <f t="shared" si="4"/>
        <v>23481.200000000001</v>
      </c>
      <c r="Q25" s="30"/>
      <c r="R25" s="35"/>
      <c r="S25" s="37"/>
      <c r="T25" s="37"/>
      <c r="U25" s="37"/>
      <c r="W25" s="37"/>
      <c r="X25" s="37"/>
      <c r="AC25" s="37"/>
      <c r="AD25" s="37"/>
      <c r="AH25" s="32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</row>
    <row r="26" s="26" customFormat="1">
      <c r="A26" s="27"/>
      <c r="B26" s="28"/>
      <c r="C26" s="34"/>
      <c r="D26" s="28"/>
      <c r="E26" s="28"/>
      <c r="F26" s="13" t="s">
        <v>31</v>
      </c>
      <c r="G26" s="23">
        <f t="shared" si="1"/>
        <v>373161.90000000002</v>
      </c>
      <c r="H26" s="23">
        <f t="shared" si="2"/>
        <v>327302.40000000002</v>
      </c>
      <c r="I26" s="23">
        <f t="shared" si="4"/>
        <v>238832.5</v>
      </c>
      <c r="J26" s="23">
        <f t="shared" ref="J26:P27" si="5">J62+J124+J255+J407</f>
        <v>216576.5</v>
      </c>
      <c r="K26" s="23">
        <f t="shared" si="5"/>
        <v>416</v>
      </c>
      <c r="L26" s="23">
        <f t="shared" si="5"/>
        <v>416</v>
      </c>
      <c r="M26" s="23">
        <f t="shared" si="5"/>
        <v>98917.899999999994</v>
      </c>
      <c r="N26" s="23">
        <f t="shared" si="5"/>
        <v>75314.399999999994</v>
      </c>
      <c r="O26" s="23">
        <f t="shared" si="5"/>
        <v>34995.5</v>
      </c>
      <c r="P26" s="23">
        <f t="shared" si="5"/>
        <v>34995.5</v>
      </c>
      <c r="Q26" s="30"/>
      <c r="R26" s="35"/>
      <c r="S26" s="38"/>
      <c r="T26" s="38"/>
      <c r="U26" s="38"/>
      <c r="W26" s="37"/>
      <c r="X26" s="37"/>
      <c r="AC26" s="37"/>
      <c r="AD26" s="37"/>
      <c r="AH26" s="32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</row>
    <row r="27" s="26" customFormat="1">
      <c r="A27" s="27"/>
      <c r="B27" s="28"/>
      <c r="C27" s="34"/>
      <c r="D27" s="28"/>
      <c r="E27" s="28"/>
      <c r="F27" s="13" t="s">
        <v>32</v>
      </c>
      <c r="G27" s="23">
        <f t="shared" si="1"/>
        <v>395119.84000000008</v>
      </c>
      <c r="H27" s="23">
        <f t="shared" si="2"/>
        <v>357199.47000000003</v>
      </c>
      <c r="I27" s="23">
        <f t="shared" si="4"/>
        <v>262628.24000000005</v>
      </c>
      <c r="J27" s="23">
        <f t="shared" si="5"/>
        <v>239243.59000000003</v>
      </c>
      <c r="K27" s="23">
        <f t="shared" ref="K27:P27" si="6">K63+K125+K256+K408</f>
        <v>432.89999999999998</v>
      </c>
      <c r="L27" s="23">
        <f t="shared" si="6"/>
        <v>432.89999999999998</v>
      </c>
      <c r="M27" s="23">
        <f t="shared" si="6"/>
        <v>99416.200000000012</v>
      </c>
      <c r="N27" s="23">
        <f>N63+N125+N256+N408</f>
        <v>84880.48000000001</v>
      </c>
      <c r="O27" s="23">
        <f t="shared" si="6"/>
        <v>32642.5</v>
      </c>
      <c r="P27" s="23">
        <f t="shared" si="6"/>
        <v>32642.5</v>
      </c>
      <c r="Q27" s="30"/>
      <c r="R27" s="35"/>
      <c r="S27" s="38"/>
      <c r="T27" s="38"/>
      <c r="U27" s="38"/>
      <c r="V27" s="37"/>
      <c r="W27" s="37"/>
      <c r="X27" s="37"/>
      <c r="AC27" s="37"/>
      <c r="AD27" s="37"/>
      <c r="AH27" s="32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</row>
    <row r="28" s="26" customFormat="1">
      <c r="A28" s="27"/>
      <c r="B28" s="28"/>
      <c r="C28" s="34"/>
      <c r="D28" s="28"/>
      <c r="E28" s="28"/>
      <c r="F28" s="13" t="s">
        <v>33</v>
      </c>
      <c r="G28" s="23">
        <f t="shared" si="1"/>
        <v>412517.92000000004</v>
      </c>
      <c r="H28" s="23">
        <f t="shared" si="2"/>
        <v>254280.30000000002</v>
      </c>
      <c r="I28" s="23">
        <f t="shared" si="4"/>
        <v>281698</v>
      </c>
      <c r="J28" s="23">
        <f t="shared" si="4"/>
        <v>220620.88</v>
      </c>
      <c r="K28" s="23">
        <f t="shared" si="4"/>
        <v>0</v>
      </c>
      <c r="L28" s="23">
        <f t="shared" si="4"/>
        <v>0</v>
      </c>
      <c r="M28" s="23">
        <f t="shared" si="4"/>
        <v>99416.200000000012</v>
      </c>
      <c r="N28" s="23">
        <f t="shared" si="4"/>
        <v>2255.6999999999998</v>
      </c>
      <c r="O28" s="23">
        <f t="shared" si="4"/>
        <v>31403.720000000001</v>
      </c>
      <c r="P28" s="23">
        <f t="shared" si="4"/>
        <v>31403.720000000001</v>
      </c>
      <c r="Q28" s="30"/>
      <c r="R28" s="35"/>
      <c r="S28" s="38">
        <f>J28-J361-J373-J385-J397+0.10000000000000001</f>
        <v>213588.97999999998</v>
      </c>
      <c r="T28" s="38">
        <v>213361.39999999999</v>
      </c>
      <c r="U28" s="38">
        <f t="shared" ref="U28:U29" si="7">T28-S28</f>
        <v>-227.57999999998719</v>
      </c>
      <c r="W28" s="37"/>
      <c r="X28" s="37"/>
      <c r="AC28" s="37"/>
      <c r="AD28" s="37"/>
      <c r="AH28" s="32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</row>
    <row r="29" s="26" customFormat="1">
      <c r="A29" s="27"/>
      <c r="B29" s="28"/>
      <c r="C29" s="34"/>
      <c r="D29" s="28"/>
      <c r="E29" s="28"/>
      <c r="F29" s="13" t="s">
        <v>34</v>
      </c>
      <c r="G29" s="23">
        <f t="shared" si="1"/>
        <v>411473.29999999999</v>
      </c>
      <c r="H29" s="23">
        <f t="shared" si="2"/>
        <v>254130.40000000002</v>
      </c>
      <c r="I29" s="23">
        <f t="shared" si="4"/>
        <v>281698</v>
      </c>
      <c r="J29" s="23">
        <f t="shared" si="4"/>
        <v>221515.60000000001</v>
      </c>
      <c r="K29" s="23">
        <f t="shared" si="4"/>
        <v>0</v>
      </c>
      <c r="L29" s="23">
        <f t="shared" si="4"/>
        <v>0</v>
      </c>
      <c r="M29" s="23">
        <f t="shared" si="4"/>
        <v>99416.200000000012</v>
      </c>
      <c r="N29" s="23">
        <f t="shared" si="4"/>
        <v>2255.6999999999998</v>
      </c>
      <c r="O29" s="23">
        <f t="shared" si="4"/>
        <v>30359.099999999999</v>
      </c>
      <c r="P29" s="23">
        <f t="shared" si="4"/>
        <v>30359.099999999999</v>
      </c>
      <c r="Q29" s="30"/>
      <c r="R29" s="35"/>
      <c r="S29" s="38"/>
      <c r="T29" s="38">
        <v>199627.60000000001</v>
      </c>
      <c r="U29" s="38">
        <f t="shared" si="7"/>
        <v>199627.60000000001</v>
      </c>
      <c r="W29" s="37"/>
      <c r="X29" s="37"/>
      <c r="AC29" s="37"/>
      <c r="AD29" s="37"/>
      <c r="AH29" s="32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</row>
    <row r="30" s="39" customFormat="1">
      <c r="A30" s="40"/>
      <c r="B30" s="41"/>
      <c r="C30" s="34"/>
      <c r="D30" s="41"/>
      <c r="E30" s="41"/>
      <c r="F30" s="13" t="s">
        <v>35</v>
      </c>
      <c r="G30" s="23">
        <f t="shared" si="1"/>
        <v>411473.29999999999</v>
      </c>
      <c r="H30" s="23">
        <f t="shared" si="2"/>
        <v>251304.70000000001</v>
      </c>
      <c r="I30" s="23">
        <f t="shared" si="4"/>
        <v>281698</v>
      </c>
      <c r="J30" s="23">
        <f t="shared" si="4"/>
        <v>220945.60000000001</v>
      </c>
      <c r="K30" s="23">
        <f t="shared" si="4"/>
        <v>0</v>
      </c>
      <c r="L30" s="23">
        <f t="shared" si="4"/>
        <v>0</v>
      </c>
      <c r="M30" s="23">
        <f t="shared" si="4"/>
        <v>99416.200000000012</v>
      </c>
      <c r="N30" s="23">
        <f t="shared" si="4"/>
        <v>0</v>
      </c>
      <c r="O30" s="23">
        <f t="shared" si="4"/>
        <v>30359.099999999999</v>
      </c>
      <c r="P30" s="23">
        <f t="shared" si="4"/>
        <v>30359.099999999999</v>
      </c>
      <c r="Q30" s="42"/>
      <c r="R30" s="43"/>
      <c r="S30" s="44"/>
      <c r="T30" s="44"/>
      <c r="U30" s="44"/>
      <c r="AC30" s="44"/>
      <c r="AD30" s="44"/>
      <c r="AI30" s="45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</row>
    <row r="31" s="26" customFormat="1" ht="13.15" customHeight="1">
      <c r="A31" s="21"/>
      <c r="B31" s="22" t="s">
        <v>36</v>
      </c>
      <c r="C31" s="4"/>
      <c r="D31" s="4"/>
      <c r="E31" s="4"/>
      <c r="F31" s="41" t="s">
        <v>22</v>
      </c>
      <c r="G31" s="46">
        <f>SUM(G32:G42)</f>
        <v>2688981.54</v>
      </c>
      <c r="H31" s="46">
        <f t="shared" ref="H31:P31" si="8">SUM(H32:H42)</f>
        <v>2362302.5</v>
      </c>
      <c r="I31" s="46">
        <f t="shared" si="8"/>
        <v>1719744.4399999999</v>
      </c>
      <c r="J31" s="46">
        <f t="shared" si="8"/>
        <v>1582041.1000000001</v>
      </c>
      <c r="K31" s="46">
        <f>SUM(K32:K42)</f>
        <v>7627.1000000000004</v>
      </c>
      <c r="L31" s="46">
        <f t="shared" si="8"/>
        <v>127.09999999999999</v>
      </c>
      <c r="M31" s="46">
        <f t="shared" si="8"/>
        <v>477868.29999999993</v>
      </c>
      <c r="N31" s="46">
        <f>SUM(N32:N42)</f>
        <v>296392.60000000003</v>
      </c>
      <c r="O31" s="46">
        <f t="shared" si="8"/>
        <v>483741.70000000001</v>
      </c>
      <c r="P31" s="46">
        <f t="shared" si="8"/>
        <v>483741.70000000001</v>
      </c>
      <c r="Q31" s="47" t="s">
        <v>37</v>
      </c>
      <c r="R31" s="35"/>
      <c r="T31" s="37"/>
      <c r="U31" s="37"/>
      <c r="AC31" s="37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</row>
    <row r="32" s="26" customFormat="1" ht="24" customHeight="1">
      <c r="A32" s="27"/>
      <c r="B32" s="28"/>
      <c r="F32" s="13" t="s">
        <v>24</v>
      </c>
      <c r="G32" s="23">
        <f t="shared" ref="G32:G42" si="9">I32+K32+M32+O32</f>
        <v>180341.60000000001</v>
      </c>
      <c r="H32" s="23">
        <f t="shared" ref="H32:H42" si="10">J32+L32+N32+P32</f>
        <v>162018.30000000002</v>
      </c>
      <c r="I32" s="23">
        <f t="shared" ref="I32:P42" si="11">I161</f>
        <v>116756.20000000001</v>
      </c>
      <c r="J32" s="23">
        <f t="shared" ref="J32:P32" si="12">J161</f>
        <v>104347.90000000001</v>
      </c>
      <c r="K32" s="23">
        <f t="shared" si="12"/>
        <v>2500</v>
      </c>
      <c r="L32" s="23">
        <f t="shared" si="12"/>
        <v>0</v>
      </c>
      <c r="M32" s="23">
        <f t="shared" si="12"/>
        <v>27766.900000000001</v>
      </c>
      <c r="N32" s="23">
        <f t="shared" si="12"/>
        <v>24351.900000000001</v>
      </c>
      <c r="O32" s="23">
        <f t="shared" si="12"/>
        <v>33318.5</v>
      </c>
      <c r="P32" s="23">
        <f t="shared" si="12"/>
        <v>33318.5</v>
      </c>
      <c r="Q32" s="47"/>
      <c r="R32" s="31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</row>
    <row r="33" s="26" customFormat="1" ht="23.449999999999999" customHeight="1">
      <c r="A33" s="27"/>
      <c r="B33" s="28"/>
      <c r="C33" s="13" t="s">
        <v>38</v>
      </c>
      <c r="D33" s="22"/>
      <c r="E33" s="22"/>
      <c r="F33" s="13" t="s">
        <v>26</v>
      </c>
      <c r="G33" s="23">
        <f t="shared" si="9"/>
        <v>181324.73999999999</v>
      </c>
      <c r="H33" s="23">
        <f t="shared" si="10"/>
        <v>173599.79999999999</v>
      </c>
      <c r="I33" s="23">
        <f t="shared" si="11"/>
        <v>111578.54000000001</v>
      </c>
      <c r="J33" s="23">
        <f t="shared" si="11"/>
        <v>109904.60000000001</v>
      </c>
      <c r="K33" s="23">
        <f t="shared" si="11"/>
        <v>2500</v>
      </c>
      <c r="L33" s="23">
        <f t="shared" si="11"/>
        <v>0</v>
      </c>
      <c r="M33" s="23">
        <f t="shared" si="11"/>
        <v>28121.900000000001</v>
      </c>
      <c r="N33" s="23">
        <f t="shared" si="11"/>
        <v>24570.900000000001</v>
      </c>
      <c r="O33" s="23">
        <f t="shared" si="11"/>
        <v>39124.300000000003</v>
      </c>
      <c r="P33" s="23">
        <f t="shared" si="11"/>
        <v>39124.300000000003</v>
      </c>
      <c r="Q33" s="47"/>
      <c r="R33" s="35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</row>
    <row r="34" s="26" customFormat="1" ht="13.15" customHeight="1">
      <c r="A34" s="27"/>
      <c r="B34" s="28"/>
      <c r="C34" s="13"/>
      <c r="D34" s="28"/>
      <c r="E34" s="28"/>
      <c r="F34" s="13" t="s">
        <v>27</v>
      </c>
      <c r="G34" s="23">
        <f t="shared" si="9"/>
        <v>197720.5</v>
      </c>
      <c r="H34" s="23">
        <f t="shared" si="10"/>
        <v>188559.5</v>
      </c>
      <c r="I34" s="23">
        <f t="shared" si="11"/>
        <v>113801.60000000001</v>
      </c>
      <c r="J34" s="23">
        <f t="shared" si="11"/>
        <v>110275.60000000001</v>
      </c>
      <c r="K34" s="23">
        <f t="shared" si="11"/>
        <v>2500</v>
      </c>
      <c r="L34" s="23">
        <f t="shared" si="11"/>
        <v>0</v>
      </c>
      <c r="M34" s="23">
        <f t="shared" si="11"/>
        <v>40223.799999999996</v>
      </c>
      <c r="N34" s="23">
        <f t="shared" si="11"/>
        <v>37088.799999999996</v>
      </c>
      <c r="O34" s="23">
        <f t="shared" si="11"/>
        <v>41195.099999999999</v>
      </c>
      <c r="P34" s="23">
        <f t="shared" si="11"/>
        <v>41195.099999999999</v>
      </c>
      <c r="Q34" s="47"/>
      <c r="R34" s="35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</row>
    <row r="35" s="26" customFormat="1" ht="19.149999999999999" customHeight="1">
      <c r="A35" s="27"/>
      <c r="B35" s="28"/>
      <c r="C35" s="13"/>
      <c r="D35" s="28"/>
      <c r="E35" s="28"/>
      <c r="F35" s="13" t="s">
        <v>28</v>
      </c>
      <c r="G35" s="23">
        <f t="shared" si="9"/>
        <v>221087.60000000001</v>
      </c>
      <c r="H35" s="23">
        <f t="shared" si="10"/>
        <v>217736.5</v>
      </c>
      <c r="I35" s="23">
        <f t="shared" si="11"/>
        <v>127114.89999999999</v>
      </c>
      <c r="J35" s="23">
        <f t="shared" si="11"/>
        <v>123763.8</v>
      </c>
      <c r="K35" s="23">
        <f t="shared" si="11"/>
        <v>127.09999999999999</v>
      </c>
      <c r="L35" s="23">
        <f t="shared" si="11"/>
        <v>127.09999999999999</v>
      </c>
      <c r="M35" s="23">
        <f t="shared" si="11"/>
        <v>47521.100000000006</v>
      </c>
      <c r="N35" s="23">
        <f t="shared" si="11"/>
        <v>47521.100000000006</v>
      </c>
      <c r="O35" s="23">
        <f t="shared" si="11"/>
        <v>46324.5</v>
      </c>
      <c r="P35" s="23">
        <f t="shared" si="11"/>
        <v>46324.5</v>
      </c>
      <c r="Q35" s="47"/>
      <c r="R35" s="35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</row>
    <row r="36" s="26" customFormat="1">
      <c r="A36" s="27"/>
      <c r="B36" s="28"/>
      <c r="C36" s="13"/>
      <c r="D36" s="28"/>
      <c r="E36" s="28"/>
      <c r="F36" s="13" t="s">
        <v>29</v>
      </c>
      <c r="G36" s="23">
        <f t="shared" si="9"/>
        <v>228198.60000000001</v>
      </c>
      <c r="H36" s="23">
        <f t="shared" si="10"/>
        <v>221491.20000000001</v>
      </c>
      <c r="I36" s="23">
        <f t="shared" si="11"/>
        <v>132875.20000000001</v>
      </c>
      <c r="J36" s="23">
        <f t="shared" si="11"/>
        <v>129803</v>
      </c>
      <c r="K36" s="23">
        <f t="shared" si="11"/>
        <v>0</v>
      </c>
      <c r="L36" s="23">
        <f t="shared" si="11"/>
        <v>0</v>
      </c>
      <c r="M36" s="23">
        <f t="shared" si="11"/>
        <v>47747.800000000003</v>
      </c>
      <c r="N36" s="23">
        <f t="shared" si="11"/>
        <v>44112.599999999999</v>
      </c>
      <c r="O36" s="23">
        <f t="shared" si="11"/>
        <v>47575.599999999999</v>
      </c>
      <c r="P36" s="23">
        <f t="shared" si="11"/>
        <v>47575.599999999999</v>
      </c>
      <c r="Q36" s="47"/>
      <c r="R36" s="35"/>
      <c r="Y36" s="32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</row>
    <row r="37" s="26" customFormat="1" ht="13.15" customHeight="1">
      <c r="A37" s="27"/>
      <c r="B37" s="28"/>
      <c r="C37" s="13"/>
      <c r="D37" s="28"/>
      <c r="E37" s="28"/>
      <c r="F37" s="13" t="s">
        <v>30</v>
      </c>
      <c r="G37" s="23">
        <f t="shared" si="9"/>
        <v>245882</v>
      </c>
      <c r="H37" s="23">
        <f t="shared" si="10"/>
        <v>221168.20000000001</v>
      </c>
      <c r="I37" s="23">
        <f t="shared" si="11"/>
        <v>158241</v>
      </c>
      <c r="J37" s="23">
        <f t="shared" si="11"/>
        <v>151378</v>
      </c>
      <c r="K37" s="23">
        <f t="shared" si="11"/>
        <v>0</v>
      </c>
      <c r="L37" s="23">
        <f t="shared" si="11"/>
        <v>0</v>
      </c>
      <c r="M37" s="23">
        <f t="shared" si="11"/>
        <v>47747.800000000003</v>
      </c>
      <c r="N37" s="23">
        <f t="shared" si="11"/>
        <v>29897</v>
      </c>
      <c r="O37" s="23">
        <f t="shared" si="11"/>
        <v>39893.199999999997</v>
      </c>
      <c r="P37" s="23">
        <f t="shared" si="11"/>
        <v>39893.199999999997</v>
      </c>
      <c r="Q37" s="47"/>
      <c r="R37" s="35"/>
      <c r="Y37" s="32"/>
      <c r="Z37" s="32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</row>
    <row r="38" s="26" customFormat="1" ht="13.15" customHeight="1">
      <c r="A38" s="27"/>
      <c r="B38" s="28"/>
      <c r="C38" s="13"/>
      <c r="D38" s="28"/>
      <c r="E38" s="28"/>
      <c r="F38" s="13" t="s">
        <v>31</v>
      </c>
      <c r="G38" s="23">
        <f t="shared" si="9"/>
        <v>254386.29999999999</v>
      </c>
      <c r="H38" s="23">
        <f t="shared" si="10"/>
        <v>236225.5</v>
      </c>
      <c r="I38" s="23">
        <f t="shared" si="11"/>
        <v>158241</v>
      </c>
      <c r="J38" s="23">
        <f t="shared" ref="J38:P38" si="13">J167</f>
        <v>148675.70000000001</v>
      </c>
      <c r="K38" s="23">
        <f t="shared" si="13"/>
        <v>0</v>
      </c>
      <c r="L38" s="23">
        <f t="shared" si="13"/>
        <v>0</v>
      </c>
      <c r="M38" s="23">
        <f t="shared" si="13"/>
        <v>47747.800000000003</v>
      </c>
      <c r="N38" s="23">
        <f t="shared" si="13"/>
        <v>39152.300000000003</v>
      </c>
      <c r="O38" s="23">
        <f t="shared" si="13"/>
        <v>48397.5</v>
      </c>
      <c r="P38" s="23">
        <f t="shared" si="13"/>
        <v>48397.5</v>
      </c>
      <c r="Q38" s="47"/>
      <c r="R38" s="35"/>
      <c r="Y38" s="32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</row>
    <row r="39" s="26" customFormat="1" ht="13.15" customHeight="1">
      <c r="A39" s="27"/>
      <c r="B39" s="28"/>
      <c r="C39" s="13"/>
      <c r="D39" s="28"/>
      <c r="E39" s="48"/>
      <c r="F39" s="13" t="s">
        <v>32</v>
      </c>
      <c r="G39" s="23">
        <f t="shared" si="9"/>
        <v>284675.5</v>
      </c>
      <c r="H39" s="23">
        <f t="shared" si="10"/>
        <v>270895.40000000002</v>
      </c>
      <c r="I39" s="23">
        <f t="shared" si="11"/>
        <v>181672</v>
      </c>
      <c r="J39" s="23">
        <f t="shared" si="11"/>
        <v>176556.10000000001</v>
      </c>
      <c r="K39" s="23">
        <f t="shared" si="11"/>
        <v>0</v>
      </c>
      <c r="L39" s="23">
        <f t="shared" si="11"/>
        <v>0</v>
      </c>
      <c r="M39" s="23">
        <f t="shared" si="11"/>
        <v>47747.800000000003</v>
      </c>
      <c r="N39" s="23">
        <f t="shared" si="11"/>
        <v>39083.599999999999</v>
      </c>
      <c r="O39" s="23">
        <f t="shared" si="11"/>
        <v>55255.699999999997</v>
      </c>
      <c r="P39" s="23">
        <f t="shared" si="11"/>
        <v>55255.699999999997</v>
      </c>
      <c r="Q39" s="47"/>
      <c r="R39" s="35"/>
      <c r="Y39" s="32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</row>
    <row r="40" s="26" customFormat="1" ht="12.75" customHeight="1">
      <c r="A40" s="27"/>
      <c r="B40" s="28"/>
      <c r="C40" s="13"/>
      <c r="D40" s="28"/>
      <c r="E40" s="28"/>
      <c r="F40" s="13" t="s">
        <v>33</v>
      </c>
      <c r="G40" s="23">
        <f t="shared" si="9"/>
        <v>298827.50000000006</v>
      </c>
      <c r="H40" s="23">
        <f t="shared" si="10"/>
        <v>225478.70000000001</v>
      </c>
      <c r="I40" s="23">
        <f t="shared" si="11"/>
        <v>206488.00000000003</v>
      </c>
      <c r="J40" s="23">
        <f t="shared" si="11"/>
        <v>175579.80000000002</v>
      </c>
      <c r="K40" s="23">
        <f t="shared" si="11"/>
        <v>0</v>
      </c>
      <c r="L40" s="23">
        <f t="shared" si="11"/>
        <v>0</v>
      </c>
      <c r="M40" s="23">
        <f t="shared" si="11"/>
        <v>47747.800000000003</v>
      </c>
      <c r="N40" s="23">
        <f t="shared" si="11"/>
        <v>5307.1999999999998</v>
      </c>
      <c r="O40" s="23">
        <f t="shared" si="11"/>
        <v>44591.699999999997</v>
      </c>
      <c r="P40" s="23">
        <f t="shared" si="11"/>
        <v>44591.699999999997</v>
      </c>
      <c r="Q40" s="47"/>
      <c r="R40" s="35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</row>
    <row r="41" s="26" customFormat="1" ht="13.15" customHeight="1">
      <c r="A41" s="27"/>
      <c r="B41" s="28"/>
      <c r="C41" s="13"/>
      <c r="D41" s="28"/>
      <c r="E41" s="28"/>
      <c r="F41" s="13" t="s">
        <v>34</v>
      </c>
      <c r="G41" s="23">
        <f t="shared" si="9"/>
        <v>298268.60000000003</v>
      </c>
      <c r="H41" s="23">
        <f t="shared" si="10"/>
        <v>225218.30000000005</v>
      </c>
      <c r="I41" s="23">
        <f t="shared" si="11"/>
        <v>206488.00000000003</v>
      </c>
      <c r="J41" s="23">
        <f t="shared" si="11"/>
        <v>175878.30000000002</v>
      </c>
      <c r="K41" s="23">
        <f t="shared" si="11"/>
        <v>0</v>
      </c>
      <c r="L41" s="23">
        <f t="shared" si="11"/>
        <v>0</v>
      </c>
      <c r="M41" s="23">
        <f t="shared" si="11"/>
        <v>47747.800000000003</v>
      </c>
      <c r="N41" s="23">
        <f t="shared" si="11"/>
        <v>5307.1999999999998</v>
      </c>
      <c r="O41" s="23">
        <f t="shared" si="11"/>
        <v>44032.800000000003</v>
      </c>
      <c r="P41" s="23">
        <f t="shared" si="11"/>
        <v>44032.800000000003</v>
      </c>
      <c r="Q41" s="47"/>
      <c r="R41" s="35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</row>
    <row r="42" s="26" customFormat="1" ht="31.899999999999999" customHeight="1">
      <c r="A42" s="40"/>
      <c r="B42" s="41"/>
      <c r="C42" s="13"/>
      <c r="D42" s="41"/>
      <c r="E42" s="41"/>
      <c r="F42" s="13" t="s">
        <v>35</v>
      </c>
      <c r="G42" s="23">
        <f t="shared" si="9"/>
        <v>298268.60000000003</v>
      </c>
      <c r="H42" s="23">
        <f t="shared" si="10"/>
        <v>219911.10000000003</v>
      </c>
      <c r="I42" s="23">
        <f t="shared" si="11"/>
        <v>206488.00000000003</v>
      </c>
      <c r="J42" s="23">
        <f t="shared" si="11"/>
        <v>175878.30000000002</v>
      </c>
      <c r="K42" s="23">
        <f t="shared" si="11"/>
        <v>0</v>
      </c>
      <c r="L42" s="23">
        <f t="shared" si="11"/>
        <v>0</v>
      </c>
      <c r="M42" s="23">
        <f t="shared" si="11"/>
        <v>47747.800000000003</v>
      </c>
      <c r="N42" s="23">
        <f t="shared" si="11"/>
        <v>0</v>
      </c>
      <c r="O42" s="23">
        <f t="shared" si="11"/>
        <v>44032.800000000003</v>
      </c>
      <c r="P42" s="23">
        <f t="shared" si="11"/>
        <v>44032.800000000003</v>
      </c>
      <c r="Q42" s="47"/>
      <c r="R42" s="35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</row>
    <row r="43" s="26" customFormat="1" ht="13.15" customHeight="1">
      <c r="A43" s="21"/>
      <c r="B43" s="22" t="s">
        <v>39</v>
      </c>
      <c r="C43" s="4"/>
      <c r="D43" s="49"/>
      <c r="E43" s="4"/>
      <c r="F43" s="13" t="s">
        <v>22</v>
      </c>
      <c r="G43" s="23">
        <f>SUM(G44:G54)</f>
        <v>40260</v>
      </c>
      <c r="H43" s="23">
        <f t="shared" ref="H43:P43" si="14">SUM(H44:H54)</f>
        <v>10000</v>
      </c>
      <c r="I43" s="23">
        <f t="shared" si="14"/>
        <v>5260</v>
      </c>
      <c r="J43" s="23">
        <f t="shared" si="14"/>
        <v>0</v>
      </c>
      <c r="K43" s="23">
        <f t="shared" si="14"/>
        <v>35000</v>
      </c>
      <c r="L43" s="23">
        <f t="shared" si="14"/>
        <v>10000</v>
      </c>
      <c r="M43" s="23">
        <f t="shared" si="14"/>
        <v>0</v>
      </c>
      <c r="N43" s="23">
        <f t="shared" si="14"/>
        <v>0</v>
      </c>
      <c r="O43" s="23">
        <f t="shared" si="14"/>
        <v>0</v>
      </c>
      <c r="P43" s="23">
        <f t="shared" si="14"/>
        <v>0</v>
      </c>
      <c r="Q43" s="47" t="s">
        <v>37</v>
      </c>
      <c r="R43" s="35"/>
      <c r="T43" s="37"/>
      <c r="U43" s="37"/>
      <c r="AC43" s="37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</row>
    <row r="44" s="26" customFormat="1" ht="24" hidden="1" customHeight="1">
      <c r="A44" s="27"/>
      <c r="B44" s="28"/>
      <c r="F44" s="13" t="s">
        <v>24</v>
      </c>
      <c r="G44" s="23">
        <f t="shared" ref="G44:G54" si="15">I44+K44+M44+O44</f>
        <v>0</v>
      </c>
      <c r="H44" s="23">
        <f t="shared" ref="H44:H54" si="16">J44+L44+N44+P44</f>
        <v>0</v>
      </c>
      <c r="I44" s="23"/>
      <c r="J44" s="23"/>
      <c r="K44" s="23"/>
      <c r="L44" s="23"/>
      <c r="M44" s="23"/>
      <c r="N44" s="23"/>
      <c r="O44" s="23"/>
      <c r="P44" s="23"/>
      <c r="Q44" s="47"/>
      <c r="R44" s="31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</row>
    <row r="45" s="26" customFormat="1" ht="23.449999999999999" hidden="1" customHeight="1">
      <c r="A45" s="27"/>
      <c r="B45" s="28"/>
      <c r="C45" s="13" t="s">
        <v>40</v>
      </c>
      <c r="D45" s="13"/>
      <c r="E45" s="13"/>
      <c r="F45" s="13" t="s">
        <v>26</v>
      </c>
      <c r="G45" s="23">
        <f t="shared" si="15"/>
        <v>0</v>
      </c>
      <c r="H45" s="23">
        <f t="shared" si="16"/>
        <v>0</v>
      </c>
      <c r="I45" s="23"/>
      <c r="J45" s="23"/>
      <c r="K45" s="23"/>
      <c r="L45" s="23"/>
      <c r="M45" s="23"/>
      <c r="N45" s="23"/>
      <c r="O45" s="23"/>
      <c r="P45" s="23"/>
      <c r="Q45" s="47"/>
      <c r="R45" s="35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</row>
    <row r="46" s="26" customFormat="1" ht="13.15" hidden="1" customHeight="1">
      <c r="A46" s="27"/>
      <c r="B46" s="28"/>
      <c r="C46" s="13"/>
      <c r="D46" s="13"/>
      <c r="E46" s="13"/>
      <c r="F46" s="13" t="s">
        <v>27</v>
      </c>
      <c r="G46" s="23">
        <f t="shared" si="15"/>
        <v>0</v>
      </c>
      <c r="H46" s="23">
        <f t="shared" si="16"/>
        <v>0</v>
      </c>
      <c r="I46" s="23"/>
      <c r="J46" s="23"/>
      <c r="K46" s="23"/>
      <c r="L46" s="23"/>
      <c r="M46" s="23"/>
      <c r="N46" s="23"/>
      <c r="O46" s="23"/>
      <c r="P46" s="23"/>
      <c r="Q46" s="47"/>
      <c r="R46" s="35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</row>
    <row r="47" s="26" customFormat="1" ht="19.149999999999999" hidden="1" customHeight="1">
      <c r="A47" s="27"/>
      <c r="B47" s="28"/>
      <c r="C47" s="13"/>
      <c r="D47" s="13"/>
      <c r="E47" s="13"/>
      <c r="F47" s="13" t="s">
        <v>28</v>
      </c>
      <c r="G47" s="23">
        <f t="shared" si="15"/>
        <v>0</v>
      </c>
      <c r="H47" s="23">
        <f t="shared" si="16"/>
        <v>0</v>
      </c>
      <c r="I47" s="23"/>
      <c r="J47" s="23"/>
      <c r="K47" s="23"/>
      <c r="L47" s="23"/>
      <c r="M47" s="23"/>
      <c r="N47" s="23"/>
      <c r="O47" s="23"/>
      <c r="P47" s="23"/>
      <c r="Q47" s="47"/>
      <c r="R47" s="35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</row>
    <row r="48" s="26" customFormat="1" ht="13.15" customHeight="1">
      <c r="A48" s="27"/>
      <c r="B48" s="28"/>
      <c r="C48" s="13"/>
      <c r="D48" s="22"/>
      <c r="E48" s="22"/>
      <c r="F48" s="13" t="s">
        <v>29</v>
      </c>
      <c r="G48" s="23">
        <f t="shared" si="15"/>
        <v>5000</v>
      </c>
      <c r="H48" s="23">
        <f t="shared" si="16"/>
        <v>5000</v>
      </c>
      <c r="I48" s="23">
        <f t="shared" ref="I48:P54" si="17">I452</f>
        <v>0</v>
      </c>
      <c r="J48" s="23">
        <f t="shared" si="17"/>
        <v>0</v>
      </c>
      <c r="K48" s="23">
        <f t="shared" si="17"/>
        <v>5000</v>
      </c>
      <c r="L48" s="23">
        <f t="shared" si="17"/>
        <v>5000</v>
      </c>
      <c r="M48" s="23">
        <f t="shared" si="17"/>
        <v>0</v>
      </c>
      <c r="N48" s="23">
        <f t="shared" si="17"/>
        <v>0</v>
      </c>
      <c r="O48" s="23">
        <f t="shared" si="17"/>
        <v>0</v>
      </c>
      <c r="P48" s="23">
        <f t="shared" si="17"/>
        <v>0</v>
      </c>
      <c r="Q48" s="47"/>
      <c r="R48" s="35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</row>
    <row r="49" s="26" customFormat="1" ht="13.15" customHeight="1">
      <c r="A49" s="27"/>
      <c r="B49" s="28"/>
      <c r="C49" s="13"/>
      <c r="D49" s="28"/>
      <c r="E49" s="28"/>
      <c r="F49" s="13" t="s">
        <v>30</v>
      </c>
      <c r="G49" s="23">
        <f t="shared" si="15"/>
        <v>5260</v>
      </c>
      <c r="H49" s="23">
        <f t="shared" si="16"/>
        <v>0</v>
      </c>
      <c r="I49" s="23">
        <f t="shared" si="17"/>
        <v>260</v>
      </c>
      <c r="J49" s="23">
        <f t="shared" si="17"/>
        <v>0</v>
      </c>
      <c r="K49" s="23">
        <f t="shared" si="17"/>
        <v>5000</v>
      </c>
      <c r="L49" s="23">
        <f t="shared" si="17"/>
        <v>0</v>
      </c>
      <c r="M49" s="23">
        <f t="shared" si="17"/>
        <v>0</v>
      </c>
      <c r="N49" s="23">
        <f t="shared" si="17"/>
        <v>0</v>
      </c>
      <c r="O49" s="23">
        <f t="shared" si="17"/>
        <v>0</v>
      </c>
      <c r="P49" s="23">
        <f t="shared" si="17"/>
        <v>0</v>
      </c>
      <c r="Q49" s="47"/>
      <c r="R49" s="35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</row>
    <row r="50" s="26" customFormat="1" ht="13.15" customHeight="1">
      <c r="A50" s="27"/>
      <c r="B50" s="28"/>
      <c r="C50" s="13"/>
      <c r="D50" s="28"/>
      <c r="E50" s="28"/>
      <c r="F50" s="13" t="s">
        <v>31</v>
      </c>
      <c r="G50" s="23">
        <f t="shared" si="15"/>
        <v>6000</v>
      </c>
      <c r="H50" s="23">
        <f t="shared" si="16"/>
        <v>5000</v>
      </c>
      <c r="I50" s="23">
        <f t="shared" si="17"/>
        <v>1000</v>
      </c>
      <c r="J50" s="23">
        <f t="shared" si="17"/>
        <v>0</v>
      </c>
      <c r="K50" s="23">
        <f t="shared" si="17"/>
        <v>5000</v>
      </c>
      <c r="L50" s="23">
        <f t="shared" si="17"/>
        <v>5000</v>
      </c>
      <c r="M50" s="23">
        <f t="shared" si="17"/>
        <v>0</v>
      </c>
      <c r="N50" s="23">
        <f t="shared" si="17"/>
        <v>0</v>
      </c>
      <c r="O50" s="23">
        <f t="shared" si="17"/>
        <v>0</v>
      </c>
      <c r="P50" s="23">
        <f t="shared" si="17"/>
        <v>0</v>
      </c>
      <c r="Q50" s="47"/>
      <c r="R50" s="35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</row>
    <row r="51" s="26" customFormat="1" ht="24.600000000000001" customHeight="1">
      <c r="A51" s="27"/>
      <c r="B51" s="28"/>
      <c r="C51" s="13"/>
      <c r="D51" s="28"/>
      <c r="E51" s="28"/>
      <c r="F51" s="13" t="s">
        <v>32</v>
      </c>
      <c r="G51" s="23">
        <f t="shared" si="15"/>
        <v>6000</v>
      </c>
      <c r="H51" s="23">
        <f t="shared" si="16"/>
        <v>0</v>
      </c>
      <c r="I51" s="23">
        <f t="shared" si="17"/>
        <v>1000</v>
      </c>
      <c r="J51" s="23">
        <f t="shared" si="17"/>
        <v>0</v>
      </c>
      <c r="K51" s="23">
        <f t="shared" si="17"/>
        <v>5000</v>
      </c>
      <c r="L51" s="23">
        <f t="shared" si="17"/>
        <v>0</v>
      </c>
      <c r="M51" s="23">
        <f t="shared" si="17"/>
        <v>0</v>
      </c>
      <c r="N51" s="23">
        <f t="shared" si="17"/>
        <v>0</v>
      </c>
      <c r="O51" s="23">
        <f t="shared" si="17"/>
        <v>0</v>
      </c>
      <c r="P51" s="23">
        <f t="shared" si="17"/>
        <v>0</v>
      </c>
      <c r="Q51" s="47"/>
      <c r="R51" s="35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</row>
    <row r="52" s="26" customFormat="1" ht="16.149999999999999" customHeight="1">
      <c r="A52" s="27"/>
      <c r="B52" s="28"/>
      <c r="C52" s="13"/>
      <c r="D52" s="28"/>
      <c r="E52" s="28"/>
      <c r="F52" s="13" t="s">
        <v>33</v>
      </c>
      <c r="G52" s="23">
        <f t="shared" si="15"/>
        <v>6000</v>
      </c>
      <c r="H52" s="23">
        <f t="shared" si="16"/>
        <v>0</v>
      </c>
      <c r="I52" s="23">
        <f t="shared" si="17"/>
        <v>1000</v>
      </c>
      <c r="J52" s="23">
        <f t="shared" si="17"/>
        <v>0</v>
      </c>
      <c r="K52" s="23">
        <f t="shared" si="17"/>
        <v>5000</v>
      </c>
      <c r="L52" s="23">
        <f t="shared" si="17"/>
        <v>0</v>
      </c>
      <c r="M52" s="23">
        <f t="shared" si="17"/>
        <v>0</v>
      </c>
      <c r="N52" s="23">
        <f t="shared" si="17"/>
        <v>0</v>
      </c>
      <c r="O52" s="23">
        <f t="shared" si="17"/>
        <v>0</v>
      </c>
      <c r="P52" s="23">
        <f t="shared" si="17"/>
        <v>0</v>
      </c>
      <c r="Q52" s="47"/>
      <c r="R52" s="35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</row>
    <row r="53" s="26" customFormat="1">
      <c r="A53" s="27"/>
      <c r="B53" s="28"/>
      <c r="C53" s="13"/>
      <c r="D53" s="28"/>
      <c r="E53" s="28"/>
      <c r="F53" s="13" t="s">
        <v>34</v>
      </c>
      <c r="G53" s="23">
        <f t="shared" si="15"/>
        <v>6000</v>
      </c>
      <c r="H53" s="23">
        <f t="shared" si="16"/>
        <v>0</v>
      </c>
      <c r="I53" s="23">
        <f t="shared" si="17"/>
        <v>1000</v>
      </c>
      <c r="J53" s="23">
        <f t="shared" si="17"/>
        <v>0</v>
      </c>
      <c r="K53" s="23">
        <f t="shared" si="17"/>
        <v>5000</v>
      </c>
      <c r="L53" s="23">
        <f t="shared" si="17"/>
        <v>0</v>
      </c>
      <c r="M53" s="23">
        <f t="shared" si="17"/>
        <v>0</v>
      </c>
      <c r="N53" s="23">
        <f t="shared" si="17"/>
        <v>0</v>
      </c>
      <c r="O53" s="23">
        <f t="shared" si="17"/>
        <v>0</v>
      </c>
      <c r="P53" s="23">
        <f t="shared" si="17"/>
        <v>0</v>
      </c>
      <c r="Q53" s="47"/>
      <c r="R53" s="35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</row>
    <row r="54" s="26" customFormat="1" ht="40.149999999999999" customHeight="1">
      <c r="A54" s="40"/>
      <c r="B54" s="41"/>
      <c r="C54" s="13"/>
      <c r="D54" s="41"/>
      <c r="E54" s="41"/>
      <c r="F54" s="13" t="s">
        <v>35</v>
      </c>
      <c r="G54" s="23">
        <f t="shared" si="15"/>
        <v>6000</v>
      </c>
      <c r="H54" s="23">
        <f t="shared" si="16"/>
        <v>0</v>
      </c>
      <c r="I54" s="23">
        <f t="shared" si="17"/>
        <v>1000</v>
      </c>
      <c r="J54" s="23">
        <f t="shared" si="17"/>
        <v>0</v>
      </c>
      <c r="K54" s="23">
        <f t="shared" si="17"/>
        <v>5000</v>
      </c>
      <c r="L54" s="23">
        <f t="shared" si="17"/>
        <v>0</v>
      </c>
      <c r="M54" s="23">
        <f t="shared" si="17"/>
        <v>0</v>
      </c>
      <c r="N54" s="23">
        <f t="shared" si="17"/>
        <v>0</v>
      </c>
      <c r="O54" s="23">
        <f t="shared" si="17"/>
        <v>0</v>
      </c>
      <c r="P54" s="23">
        <f t="shared" si="17"/>
        <v>0</v>
      </c>
      <c r="Q54" s="47"/>
      <c r="R54" s="35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</row>
    <row r="55" s="26" customFormat="1">
      <c r="A55" s="12" t="s">
        <v>41</v>
      </c>
      <c r="B55" s="50" t="s">
        <v>42</v>
      </c>
      <c r="F55" s="13" t="s">
        <v>22</v>
      </c>
      <c r="G55" s="23">
        <f>SUM(G56:G66)</f>
        <v>1348922.5930000001</v>
      </c>
      <c r="H55" s="23">
        <f t="shared" ref="H55:P55" si="18">SUM(H56:H66)</f>
        <v>1065980.6430000002</v>
      </c>
      <c r="I55" s="23">
        <f t="shared" si="18"/>
        <v>870954.45000000019</v>
      </c>
      <c r="J55" s="23">
        <f t="shared" si="18"/>
        <v>780028.21999999986</v>
      </c>
      <c r="K55" s="23">
        <f t="shared" si="18"/>
        <v>2586.7000000000003</v>
      </c>
      <c r="L55" s="23">
        <f t="shared" si="18"/>
        <v>848.89999999999998</v>
      </c>
      <c r="M55" s="23">
        <f t="shared" si="18"/>
        <v>461069.54300000006</v>
      </c>
      <c r="N55" s="23">
        <f t="shared" si="18"/>
        <v>270791.62300000002</v>
      </c>
      <c r="O55" s="23">
        <f t="shared" si="18"/>
        <v>14311.9</v>
      </c>
      <c r="P55" s="23">
        <f t="shared" si="18"/>
        <v>14311.9</v>
      </c>
      <c r="Q55" s="51" t="s">
        <v>37</v>
      </c>
      <c r="R55" s="35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</row>
    <row r="56" s="26" customFormat="1" ht="42.75" customHeight="1">
      <c r="A56" s="14"/>
      <c r="B56" s="50" t="s">
        <v>43</v>
      </c>
      <c r="C56" s="13" t="s">
        <v>44</v>
      </c>
      <c r="D56" s="22"/>
      <c r="E56" s="22"/>
      <c r="F56" s="13" t="s">
        <v>24</v>
      </c>
      <c r="G56" s="23">
        <f>I56+K56+M56+O56</f>
        <v>94910.100000000006</v>
      </c>
      <c r="H56" s="23">
        <f t="shared" ref="G56:H60" si="19">J56+L56+N56+P56</f>
        <v>73906</v>
      </c>
      <c r="I56" s="23">
        <f t="shared" ref="I56:I61" si="20">I68+I80+I94+I106</f>
        <v>71330.300000000003</v>
      </c>
      <c r="J56" s="23">
        <f>J68+J80+J94+J106</f>
        <v>53230.199999999997</v>
      </c>
      <c r="K56" s="23">
        <f t="shared" ref="K56:P61" si="21">K68+K80+K94</f>
        <v>525</v>
      </c>
      <c r="L56" s="23">
        <f t="shared" si="21"/>
        <v>0</v>
      </c>
      <c r="M56" s="23">
        <f t="shared" si="21"/>
        <v>21964.299999999999</v>
      </c>
      <c r="N56" s="23">
        <f t="shared" si="21"/>
        <v>19585.299999999999</v>
      </c>
      <c r="O56" s="23">
        <f t="shared" si="21"/>
        <v>1090.5</v>
      </c>
      <c r="P56" s="23">
        <f t="shared" si="21"/>
        <v>1090.5</v>
      </c>
      <c r="Q56" s="52"/>
      <c r="R56" s="31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</row>
    <row r="57" s="26" customFormat="1" ht="42" customHeight="1">
      <c r="A57" s="14"/>
      <c r="B57" s="50"/>
      <c r="C57" s="22" t="s">
        <v>45</v>
      </c>
      <c r="D57" s="28"/>
      <c r="E57" s="28"/>
      <c r="F57" s="53" t="s">
        <v>26</v>
      </c>
      <c r="G57" s="23">
        <f t="shared" si="19"/>
        <v>85717.779999999999</v>
      </c>
      <c r="H57" s="23">
        <f t="shared" si="19"/>
        <v>78152.699999999997</v>
      </c>
      <c r="I57" s="23">
        <f t="shared" si="20"/>
        <v>61778.080000000002</v>
      </c>
      <c r="J57" s="23">
        <f>J69+J95+J107</f>
        <v>56943</v>
      </c>
      <c r="K57" s="23">
        <f t="shared" si="21"/>
        <v>577.5</v>
      </c>
      <c r="L57" s="23">
        <f t="shared" si="21"/>
        <v>0</v>
      </c>
      <c r="M57" s="23">
        <f t="shared" si="21"/>
        <v>21556.5</v>
      </c>
      <c r="N57" s="23">
        <f t="shared" si="21"/>
        <v>19404</v>
      </c>
      <c r="O57" s="23">
        <f t="shared" si="21"/>
        <v>1805.7</v>
      </c>
      <c r="P57" s="23">
        <f t="shared" si="21"/>
        <v>1805.7</v>
      </c>
      <c r="Q57" s="52"/>
      <c r="R57" s="35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</row>
    <row r="58" s="26" customFormat="1" ht="26.25" customHeight="1">
      <c r="A58" s="14"/>
      <c r="B58" s="50"/>
      <c r="C58" s="28"/>
      <c r="D58" s="28"/>
      <c r="E58" s="28"/>
      <c r="F58" s="53" t="s">
        <v>27</v>
      </c>
      <c r="G58" s="23">
        <f t="shared" si="19"/>
        <v>103715.24300000002</v>
      </c>
      <c r="H58" s="23">
        <f t="shared" si="19"/>
        <v>97697.143000000011</v>
      </c>
      <c r="I58" s="23">
        <f t="shared" si="20"/>
        <v>63546.300000000003</v>
      </c>
      <c r="J58" s="23">
        <f t="shared" ref="J58:J61" si="22">J70+J82+J96+J108</f>
        <v>59052.900000000001</v>
      </c>
      <c r="K58" s="23">
        <f t="shared" si="21"/>
        <v>635.29999999999995</v>
      </c>
      <c r="L58" s="23">
        <f t="shared" si="21"/>
        <v>0</v>
      </c>
      <c r="M58" s="23">
        <f t="shared" si="21"/>
        <v>38033.542999999998</v>
      </c>
      <c r="N58" s="23">
        <f t="shared" si="21"/>
        <v>37144.142999999996</v>
      </c>
      <c r="O58" s="23">
        <f t="shared" si="21"/>
        <v>1500.0999999999999</v>
      </c>
      <c r="P58" s="23">
        <f t="shared" si="21"/>
        <v>1500.0999999999999</v>
      </c>
      <c r="Q58" s="52"/>
      <c r="R58" s="35"/>
      <c r="S58" s="54" t="s">
        <v>43</v>
      </c>
      <c r="T58" s="54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</row>
    <row r="59" s="26" customFormat="1">
      <c r="A59" s="14"/>
      <c r="B59" s="50"/>
      <c r="C59" s="28"/>
      <c r="D59" s="28"/>
      <c r="E59" s="28"/>
      <c r="F59" s="53" t="s">
        <v>28</v>
      </c>
      <c r="G59" s="23">
        <f t="shared" si="19"/>
        <v>112584.2</v>
      </c>
      <c r="H59" s="23">
        <f t="shared" si="19"/>
        <v>108049.3</v>
      </c>
      <c r="I59" s="23">
        <f t="shared" si="20"/>
        <v>63552.5</v>
      </c>
      <c r="J59" s="23">
        <f t="shared" si="22"/>
        <v>59017.599999999999</v>
      </c>
      <c r="K59" s="23">
        <f t="shared" si="21"/>
        <v>0</v>
      </c>
      <c r="L59" s="23">
        <f t="shared" si="21"/>
        <v>0</v>
      </c>
      <c r="M59" s="23">
        <f t="shared" si="21"/>
        <v>47439.400000000001</v>
      </c>
      <c r="N59" s="23">
        <f t="shared" si="21"/>
        <v>47439.400000000001</v>
      </c>
      <c r="O59" s="23">
        <f t="shared" si="21"/>
        <v>1592.3</v>
      </c>
      <c r="P59" s="23">
        <f t="shared" si="21"/>
        <v>1592.3</v>
      </c>
      <c r="Q59" s="52"/>
      <c r="R59" s="35"/>
      <c r="S59" s="54"/>
      <c r="T59" s="54"/>
      <c r="AD59" s="37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</row>
    <row r="60" s="26" customFormat="1">
      <c r="A60" s="14"/>
      <c r="B60" s="50"/>
      <c r="C60" s="28"/>
      <c r="D60" s="28"/>
      <c r="E60" s="28"/>
      <c r="F60" s="53" t="s">
        <v>29</v>
      </c>
      <c r="G60" s="23">
        <f t="shared" si="19"/>
        <v>112752.29999999999</v>
      </c>
      <c r="H60" s="23">
        <f t="shared" si="19"/>
        <v>107962.39999999999</v>
      </c>
      <c r="I60" s="23">
        <f t="shared" si="20"/>
        <v>63552.5</v>
      </c>
      <c r="J60" s="23">
        <f t="shared" si="22"/>
        <v>59554.900000000001</v>
      </c>
      <c r="K60" s="23">
        <f t="shared" si="21"/>
        <v>0</v>
      </c>
      <c r="L60" s="23">
        <f t="shared" si="21"/>
        <v>0</v>
      </c>
      <c r="M60" s="23">
        <f t="shared" si="21"/>
        <v>47439.400000000001</v>
      </c>
      <c r="N60" s="23">
        <f t="shared" si="21"/>
        <v>46647.099999999999</v>
      </c>
      <c r="O60" s="23">
        <f t="shared" si="21"/>
        <v>1760.4000000000001</v>
      </c>
      <c r="P60" s="23">
        <f t="shared" si="21"/>
        <v>1760.4000000000001</v>
      </c>
      <c r="Q60" s="52"/>
      <c r="R60" s="35"/>
      <c r="S60" s="55">
        <f t="shared" ref="S60:S66" si="23">H60/G60*100</f>
        <v>95.751838321701641</v>
      </c>
      <c r="T60" s="53" t="s">
        <v>29</v>
      </c>
      <c r="Y60" s="56"/>
      <c r="Z60" s="56"/>
      <c r="AA60" s="56"/>
      <c r="AB60" s="5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</row>
    <row r="61" s="26" customFormat="1">
      <c r="A61" s="14"/>
      <c r="B61" s="50"/>
      <c r="C61" s="28"/>
      <c r="D61" s="28"/>
      <c r="E61" s="28"/>
      <c r="F61" s="53" t="s">
        <v>30</v>
      </c>
      <c r="G61" s="23">
        <f t="shared" ref="G61:H66" si="24">I61+K61+M61+O61</f>
        <v>126657.13</v>
      </c>
      <c r="H61" s="23">
        <f t="shared" si="24"/>
        <v>109893.13</v>
      </c>
      <c r="I61" s="23">
        <f t="shared" si="20"/>
        <v>78438.229999999996</v>
      </c>
      <c r="J61" s="23">
        <f t="shared" si="22"/>
        <v>76328.630000000005</v>
      </c>
      <c r="K61" s="23">
        <f t="shared" si="21"/>
        <v>0</v>
      </c>
      <c r="L61" s="23">
        <f t="shared" si="21"/>
        <v>0</v>
      </c>
      <c r="M61" s="23">
        <f t="shared" si="21"/>
        <v>47439.400000000001</v>
      </c>
      <c r="N61" s="23">
        <f t="shared" si="21"/>
        <v>32785</v>
      </c>
      <c r="O61" s="23">
        <f t="shared" si="21"/>
        <v>779.5</v>
      </c>
      <c r="P61" s="23">
        <f t="shared" si="21"/>
        <v>779.5</v>
      </c>
      <c r="Q61" s="52"/>
      <c r="R61" s="35"/>
      <c r="S61" s="55">
        <f t="shared" si="23"/>
        <v>86.764266646496722</v>
      </c>
      <c r="T61" s="53" t="s">
        <v>30</v>
      </c>
      <c r="Y61" s="56"/>
      <c r="Z61" s="56"/>
      <c r="AA61" s="56"/>
      <c r="AB61" s="5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</row>
    <row r="62" s="26" customFormat="1">
      <c r="A62" s="14"/>
      <c r="B62" s="50"/>
      <c r="C62" s="28"/>
      <c r="D62" s="28"/>
      <c r="E62" s="28"/>
      <c r="F62" s="53" t="s">
        <v>31</v>
      </c>
      <c r="G62" s="23">
        <f t="shared" si="24"/>
        <v>132732.20000000001</v>
      </c>
      <c r="H62" s="23">
        <f t="shared" si="24"/>
        <v>113985.10000000001</v>
      </c>
      <c r="I62" s="23">
        <f t="shared" ref="I62:P66" si="25">I74+I100+I112</f>
        <v>83452.699999999997</v>
      </c>
      <c r="J62" s="23">
        <f t="shared" ref="J62:P62" si="26">J74+J100+J112</f>
        <v>80236.899999999994</v>
      </c>
      <c r="K62" s="23">
        <f t="shared" si="26"/>
        <v>416</v>
      </c>
      <c r="L62" s="23">
        <f t="shared" si="26"/>
        <v>416</v>
      </c>
      <c r="M62" s="23">
        <f t="shared" si="26"/>
        <v>47439.400000000001</v>
      </c>
      <c r="N62" s="23">
        <f t="shared" si="26"/>
        <v>31908.099999999999</v>
      </c>
      <c r="O62" s="23">
        <f t="shared" si="26"/>
        <v>1424.0999999999999</v>
      </c>
      <c r="P62" s="23">
        <f t="shared" si="26"/>
        <v>1424.0999999999999</v>
      </c>
      <c r="Q62" s="52"/>
      <c r="R62" s="35"/>
      <c r="S62" s="55">
        <f t="shared" si="23"/>
        <v>85.875996932168675</v>
      </c>
      <c r="T62" s="53" t="s">
        <v>31</v>
      </c>
      <c r="W62" s="32">
        <f t="shared" ref="W62:W125" si="27">I62-J62</f>
        <v>3215.8000000000029</v>
      </c>
      <c r="Y62" s="56"/>
      <c r="Z62" s="56"/>
      <c r="AA62" s="56"/>
      <c r="AB62" s="5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</row>
    <row r="63" s="26" customFormat="1">
      <c r="A63" s="14"/>
      <c r="B63" s="50"/>
      <c r="C63" s="28"/>
      <c r="D63" s="28"/>
      <c r="E63" s="28"/>
      <c r="F63" s="53" t="s">
        <v>32</v>
      </c>
      <c r="G63" s="23">
        <f t="shared" si="24"/>
        <v>147176.03999999998</v>
      </c>
      <c r="H63" s="23">
        <f t="shared" si="24"/>
        <v>121542.27</v>
      </c>
      <c r="I63" s="23">
        <f t="shared" si="25"/>
        <v>98250.940000000002</v>
      </c>
      <c r="J63" s="23">
        <f t="shared" si="25"/>
        <v>84177.990000000005</v>
      </c>
      <c r="K63" s="23">
        <f t="shared" si="25"/>
        <v>432.89999999999998</v>
      </c>
      <c r="L63" s="23">
        <f t="shared" si="25"/>
        <v>432.89999999999998</v>
      </c>
      <c r="M63" s="23">
        <f t="shared" si="25"/>
        <v>47439.400000000001</v>
      </c>
      <c r="N63" s="23">
        <f t="shared" si="25"/>
        <v>35878.580000000002</v>
      </c>
      <c r="O63" s="23">
        <f t="shared" si="25"/>
        <v>1052.8</v>
      </c>
      <c r="P63" s="23">
        <f t="shared" si="25"/>
        <v>1052.8</v>
      </c>
      <c r="Q63" s="52"/>
      <c r="R63" s="35"/>
      <c r="S63" s="55">
        <f t="shared" si="23"/>
        <v>82.582919067533027</v>
      </c>
      <c r="T63" s="53" t="s">
        <v>32</v>
      </c>
      <c r="W63" s="32">
        <f t="shared" si="27"/>
        <v>14072.949999999997</v>
      </c>
      <c r="Y63" s="56"/>
      <c r="Z63" s="56"/>
      <c r="AA63" s="56"/>
      <c r="AB63" s="5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</row>
    <row r="64" s="26" customFormat="1" ht="15.6" customHeight="1">
      <c r="A64" s="14"/>
      <c r="B64" s="50"/>
      <c r="C64" s="28"/>
      <c r="D64" s="28"/>
      <c r="E64" s="28"/>
      <c r="F64" s="53" t="s">
        <v>33</v>
      </c>
      <c r="G64" s="23">
        <f t="shared" si="24"/>
        <v>144236</v>
      </c>
      <c r="H64" s="23">
        <f t="shared" si="24"/>
        <v>84861</v>
      </c>
      <c r="I64" s="23">
        <f t="shared" si="25"/>
        <v>95684.300000000003</v>
      </c>
      <c r="J64" s="23">
        <f t="shared" si="25"/>
        <v>83748.699999999997</v>
      </c>
      <c r="K64" s="23">
        <f t="shared" si="25"/>
        <v>0</v>
      </c>
      <c r="L64" s="23">
        <f t="shared" si="25"/>
        <v>0</v>
      </c>
      <c r="M64" s="23">
        <f t="shared" si="25"/>
        <v>47439.400000000001</v>
      </c>
      <c r="N64" s="23">
        <f t="shared" si="25"/>
        <v>0</v>
      </c>
      <c r="O64" s="23">
        <f t="shared" si="25"/>
        <v>1112.3</v>
      </c>
      <c r="P64" s="23">
        <f t="shared" si="25"/>
        <v>1112.3</v>
      </c>
      <c r="Q64" s="52"/>
      <c r="R64" s="35"/>
      <c r="S64" s="55">
        <f t="shared" si="23"/>
        <v>58.834826256967744</v>
      </c>
      <c r="T64" s="53" t="s">
        <v>33</v>
      </c>
      <c r="W64" s="32">
        <f t="shared" si="27"/>
        <v>11935.600000000006</v>
      </c>
      <c r="Y64" s="56"/>
      <c r="Z64" s="56"/>
      <c r="AA64" s="56"/>
      <c r="AB64" s="5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</row>
    <row r="65" s="26" customFormat="1">
      <c r="A65" s="14"/>
      <c r="B65" s="50"/>
      <c r="C65" s="28"/>
      <c r="D65" s="28"/>
      <c r="E65" s="28"/>
      <c r="F65" s="53" t="s">
        <v>34</v>
      </c>
      <c r="G65" s="23">
        <f t="shared" si="24"/>
        <v>144220.80000000002</v>
      </c>
      <c r="H65" s="23">
        <f t="shared" si="24"/>
        <v>85250.800000000003</v>
      </c>
      <c r="I65" s="23">
        <f t="shared" si="25"/>
        <v>95684.300000000003</v>
      </c>
      <c r="J65" s="23">
        <f t="shared" si="25"/>
        <v>84153.699999999997</v>
      </c>
      <c r="K65" s="23">
        <f t="shared" si="25"/>
        <v>0</v>
      </c>
      <c r="L65" s="23">
        <f t="shared" si="25"/>
        <v>0</v>
      </c>
      <c r="M65" s="23">
        <f t="shared" si="25"/>
        <v>47439.400000000001</v>
      </c>
      <c r="N65" s="23">
        <f t="shared" si="25"/>
        <v>0</v>
      </c>
      <c r="O65" s="23">
        <f t="shared" si="25"/>
        <v>1097.0999999999999</v>
      </c>
      <c r="P65" s="23">
        <f t="shared" si="25"/>
        <v>1097.0999999999999</v>
      </c>
      <c r="Q65" s="52"/>
      <c r="R65" s="35"/>
      <c r="S65" s="55">
        <f t="shared" si="23"/>
        <v>59.111307106880552</v>
      </c>
      <c r="T65" s="53" t="s">
        <v>34</v>
      </c>
      <c r="W65" s="32">
        <f t="shared" si="27"/>
        <v>11530.600000000006</v>
      </c>
      <c r="Y65" s="56"/>
      <c r="Z65" s="56"/>
      <c r="AA65" s="56"/>
      <c r="AB65" s="5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</row>
    <row r="66" s="26" customFormat="1">
      <c r="A66" s="14"/>
      <c r="B66" s="50"/>
      <c r="C66" s="41"/>
      <c r="D66" s="41"/>
      <c r="E66" s="41"/>
      <c r="F66" s="53" t="s">
        <v>35</v>
      </c>
      <c r="G66" s="23">
        <f t="shared" si="24"/>
        <v>144220.80000000002</v>
      </c>
      <c r="H66" s="23">
        <f t="shared" si="24"/>
        <v>84680.800000000003</v>
      </c>
      <c r="I66" s="23">
        <f t="shared" si="25"/>
        <v>95684.300000000003</v>
      </c>
      <c r="J66" s="23">
        <f t="shared" si="25"/>
        <v>83583.699999999997</v>
      </c>
      <c r="K66" s="23">
        <f>K78+K104+K116</f>
        <v>0</v>
      </c>
      <c r="L66" s="23">
        <f t="shared" si="25"/>
        <v>0</v>
      </c>
      <c r="M66" s="23">
        <f t="shared" si="25"/>
        <v>47439.400000000001</v>
      </c>
      <c r="N66" s="23">
        <f t="shared" si="25"/>
        <v>0</v>
      </c>
      <c r="O66" s="23">
        <f t="shared" si="25"/>
        <v>1097.0999999999999</v>
      </c>
      <c r="P66" s="23">
        <f t="shared" si="25"/>
        <v>1097.0999999999999</v>
      </c>
      <c r="Q66" s="52"/>
      <c r="R66" s="35"/>
      <c r="S66" s="55">
        <f t="shared" si="23"/>
        <v>58.716079788768326</v>
      </c>
      <c r="T66" s="53" t="s">
        <v>35</v>
      </c>
      <c r="W66" s="32">
        <f t="shared" si="27"/>
        <v>12100.600000000006</v>
      </c>
      <c r="Y66" s="56"/>
      <c r="Z66" s="56"/>
      <c r="AA66" s="56"/>
      <c r="AB66" s="5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</row>
    <row r="67" s="26" customFormat="1" ht="15.6" customHeight="1">
      <c r="A67" s="14"/>
      <c r="B67" s="57" t="s">
        <v>46</v>
      </c>
      <c r="F67" s="11" t="s">
        <v>22</v>
      </c>
      <c r="G67" s="54">
        <f>SUM(G68:G78)</f>
        <v>1331289.953</v>
      </c>
      <c r="H67" s="54">
        <f t="shared" ref="H67:P67" si="28">SUM(H68:H78)</f>
        <v>1062551.6030000001</v>
      </c>
      <c r="I67" s="54">
        <f t="shared" si="28"/>
        <v>854741.81000000006</v>
      </c>
      <c r="J67" s="54">
        <f t="shared" si="28"/>
        <v>776759.17999999982</v>
      </c>
      <c r="K67" s="54">
        <f t="shared" si="28"/>
        <v>2061.6999999999998</v>
      </c>
      <c r="L67" s="54">
        <f t="shared" si="28"/>
        <v>848.89999999999998</v>
      </c>
      <c r="M67" s="54">
        <f t="shared" si="28"/>
        <v>460334.54300000006</v>
      </c>
      <c r="N67" s="54">
        <f>SUM(N68:N78)</f>
        <v>270791.62300000002</v>
      </c>
      <c r="O67" s="54">
        <f t="shared" si="28"/>
        <v>14151.9</v>
      </c>
      <c r="P67" s="54">
        <f t="shared" si="28"/>
        <v>14151.9</v>
      </c>
      <c r="Q67" s="52"/>
      <c r="R67" s="35"/>
      <c r="W67" s="32">
        <f t="shared" si="27"/>
        <v>77982.630000000237</v>
      </c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</row>
    <row r="68" s="58" customFormat="1" ht="53.25" customHeight="1">
      <c r="A68" s="14"/>
      <c r="B68" s="57"/>
      <c r="C68" s="11" t="s">
        <v>47</v>
      </c>
      <c r="D68" s="12" t="s">
        <v>48</v>
      </c>
      <c r="E68" s="12" t="s">
        <v>49</v>
      </c>
      <c r="F68" s="11" t="s">
        <v>24</v>
      </c>
      <c r="G68" s="54">
        <f t="shared" ref="G68:H78" si="29">I68+K68+M68+O68</f>
        <v>91017.100000000006</v>
      </c>
      <c r="H68" s="54">
        <f>J68+L68+N68+P68</f>
        <v>73591</v>
      </c>
      <c r="I68" s="54">
        <f>17212+J68-1400-29.899999999999999</f>
        <v>68857.300000000003</v>
      </c>
      <c r="J68" s="54">
        <f>53075.099999999999+0.10000000000000001</f>
        <v>53075.199999999997</v>
      </c>
      <c r="K68" s="54">
        <v>0</v>
      </c>
      <c r="L68" s="54">
        <v>0</v>
      </c>
      <c r="M68" s="54">
        <f>1644+N68</f>
        <v>21229.299999999999</v>
      </c>
      <c r="N68" s="54">
        <v>19585.299999999999</v>
      </c>
      <c r="O68" s="54">
        <v>930.5</v>
      </c>
      <c r="P68" s="54">
        <f t="shared" ref="P68:P73" si="30">O68</f>
        <v>930.5</v>
      </c>
      <c r="Q68" s="52"/>
      <c r="R68" s="35"/>
      <c r="W68" s="32">
        <f t="shared" si="27"/>
        <v>15782.100000000006</v>
      </c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</row>
    <row r="69" ht="54.75" customHeight="1">
      <c r="A69" s="14"/>
      <c r="B69" s="57"/>
      <c r="C69" s="11" t="s">
        <v>50</v>
      </c>
      <c r="D69" s="14"/>
      <c r="E69" s="14"/>
      <c r="F69" s="11" t="s">
        <v>26</v>
      </c>
      <c r="G69" s="54">
        <f t="shared" si="29"/>
        <v>84342.779999999999</v>
      </c>
      <c r="H69" s="54">
        <f t="shared" si="29"/>
        <v>77737.699999999997</v>
      </c>
      <c r="I69" s="54">
        <f>J69+650.58000000000004+892.5+250+300+900+552+330</f>
        <v>60403.080000000002</v>
      </c>
      <c r="J69" s="54">
        <f>57048.599999999999-J95-0.10000000000000001+371.69999999999999+11.800000000000001+12-656</f>
        <v>56528</v>
      </c>
      <c r="K69" s="54">
        <v>577.5</v>
      </c>
      <c r="L69" s="54">
        <v>0</v>
      </c>
      <c r="M69" s="54">
        <f>1344+N69+808.5</f>
        <v>21556.5</v>
      </c>
      <c r="N69" s="54">
        <f>26596.099999999999-8847.2999999999993+1655.2</f>
        <v>19404</v>
      </c>
      <c r="O69" s="54">
        <v>1805.7</v>
      </c>
      <c r="P69" s="54">
        <f t="shared" si="30"/>
        <v>1805.7</v>
      </c>
      <c r="Q69" s="52"/>
      <c r="R69" s="35"/>
      <c r="W69" s="32">
        <f t="shared" si="27"/>
        <v>3875.0800000000017</v>
      </c>
    </row>
    <row r="70" ht="42" customHeight="1">
      <c r="A70" s="14"/>
      <c r="B70" s="57"/>
      <c r="C70" s="12" t="s">
        <v>51</v>
      </c>
      <c r="D70" s="14"/>
      <c r="E70" s="14"/>
      <c r="F70" s="11" t="s">
        <v>27</v>
      </c>
      <c r="G70" s="54">
        <f t="shared" si="29"/>
        <v>103006.24300000002</v>
      </c>
      <c r="H70" s="54">
        <f t="shared" si="29"/>
        <v>97282.143000000011</v>
      </c>
      <c r="I70" s="54">
        <f>J70+4199.3999999999996</f>
        <v>62837.300000000003</v>
      </c>
      <c r="J70" s="54">
        <f>58855.900000000001-J96+42</f>
        <v>58637.900000000001</v>
      </c>
      <c r="K70" s="54">
        <v>635.29999999999995</v>
      </c>
      <c r="L70" s="54">
        <v>0</v>
      </c>
      <c r="M70" s="54">
        <f>N70+889.39999999999998</f>
        <v>38033.542999999998</v>
      </c>
      <c r="N70" s="54">
        <f>38311.442999999999-1167.3</f>
        <v>37144.142999999996</v>
      </c>
      <c r="O70" s="54">
        <f>1500.0999999999999</f>
        <v>1500.0999999999999</v>
      </c>
      <c r="P70" s="54">
        <f t="shared" si="30"/>
        <v>1500.0999999999999</v>
      </c>
      <c r="Q70" s="52"/>
      <c r="R70" s="35"/>
      <c r="W70" s="32">
        <f t="shared" si="27"/>
        <v>4199.4000000000015</v>
      </c>
    </row>
    <row r="71" ht="21.600000000000001" customHeight="1">
      <c r="A71" s="14"/>
      <c r="B71" s="57"/>
      <c r="C71" s="14"/>
      <c r="D71" s="14"/>
      <c r="E71" s="14"/>
      <c r="F71" s="11" t="s">
        <v>28</v>
      </c>
      <c r="G71" s="54">
        <f t="shared" si="29"/>
        <v>111869.00000000001</v>
      </c>
      <c r="H71" s="54">
        <f>J71+L71+N71+P71</f>
        <v>107888.10000000001</v>
      </c>
      <c r="I71" s="54">
        <f t="shared" ref="I71:I78" si="31">I70</f>
        <v>62837.300000000003</v>
      </c>
      <c r="J71" s="54">
        <v>58856.400000000001</v>
      </c>
      <c r="K71" s="54">
        <v>0</v>
      </c>
      <c r="L71" s="54">
        <v>0</v>
      </c>
      <c r="M71" s="54">
        <v>47439.400000000001</v>
      </c>
      <c r="N71" s="54">
        <v>47439.400000000001</v>
      </c>
      <c r="O71" s="54">
        <v>1592.3</v>
      </c>
      <c r="P71" s="54">
        <f t="shared" si="30"/>
        <v>1592.3</v>
      </c>
      <c r="Q71" s="52"/>
      <c r="R71" s="35"/>
      <c r="W71" s="32">
        <f t="shared" si="27"/>
        <v>3980.9000000000015</v>
      </c>
    </row>
    <row r="72" ht="21.600000000000001" customHeight="1">
      <c r="A72" s="14"/>
      <c r="B72" s="57"/>
      <c r="C72" s="14"/>
      <c r="D72" s="14"/>
      <c r="E72" s="14"/>
      <c r="F72" s="11" t="s">
        <v>29</v>
      </c>
      <c r="G72" s="54">
        <f t="shared" si="29"/>
        <v>112037.10000000001</v>
      </c>
      <c r="H72" s="54">
        <f t="shared" si="29"/>
        <v>107541.2</v>
      </c>
      <c r="I72" s="54">
        <f t="shared" si="31"/>
        <v>62837.300000000003</v>
      </c>
      <c r="J72" s="54">
        <f>59108.900000000001+24.800000000000001</f>
        <v>59133.700000000004</v>
      </c>
      <c r="K72" s="54">
        <v>0</v>
      </c>
      <c r="L72" s="54">
        <v>0</v>
      </c>
      <c r="M72" s="54">
        <f t="shared" ref="M72:M78" si="32">M71</f>
        <v>47439.400000000001</v>
      </c>
      <c r="N72" s="54">
        <v>46647.099999999999</v>
      </c>
      <c r="O72" s="54">
        <f>755.39999999999998+775+30+200-O452</f>
        <v>1760.4000000000001</v>
      </c>
      <c r="P72" s="54">
        <f t="shared" si="30"/>
        <v>1760.4000000000001</v>
      </c>
      <c r="Q72" s="52"/>
      <c r="R72" s="35"/>
      <c r="W72" s="32">
        <f t="shared" si="27"/>
        <v>3703.5999999999985</v>
      </c>
      <c r="Y72" s="59"/>
    </row>
    <row r="73" ht="21.600000000000001" customHeight="1">
      <c r="A73" s="14"/>
      <c r="B73" s="57"/>
      <c r="C73" s="14"/>
      <c r="D73" s="14"/>
      <c r="E73" s="14"/>
      <c r="F73" s="11" t="s">
        <v>30</v>
      </c>
      <c r="G73" s="54">
        <f t="shared" si="29"/>
        <v>125915.42999999999</v>
      </c>
      <c r="H73" s="54">
        <f t="shared" si="29"/>
        <v>109761.03</v>
      </c>
      <c r="I73" s="54">
        <f>J73+1500</f>
        <v>77696.529999999999</v>
      </c>
      <c r="J73" s="54">
        <v>76196.529999999999</v>
      </c>
      <c r="K73" s="54">
        <v>0</v>
      </c>
      <c r="L73" s="54">
        <v>0</v>
      </c>
      <c r="M73" s="54">
        <f t="shared" si="32"/>
        <v>47439.400000000001</v>
      </c>
      <c r="N73" s="54">
        <v>32785</v>
      </c>
      <c r="O73" s="54">
        <v>779.5</v>
      </c>
      <c r="P73" s="54">
        <f t="shared" si="30"/>
        <v>779.5</v>
      </c>
      <c r="Q73" s="52"/>
      <c r="R73" s="60"/>
      <c r="W73" s="32">
        <f t="shared" si="27"/>
        <v>1500</v>
      </c>
      <c r="Y73" s="59"/>
    </row>
    <row r="74" ht="21.600000000000001" customHeight="1">
      <c r="A74" s="14"/>
      <c r="B74" s="57"/>
      <c r="C74" s="14"/>
      <c r="D74" s="14"/>
      <c r="E74" s="14"/>
      <c r="F74" s="11" t="s">
        <v>31</v>
      </c>
      <c r="G74" s="54">
        <f t="shared" si="29"/>
        <v>132409.5</v>
      </c>
      <c r="H74" s="54">
        <f t="shared" si="29"/>
        <v>113700.39999999999</v>
      </c>
      <c r="I74" s="54">
        <v>83130</v>
      </c>
      <c r="J74" s="54">
        <v>79952.199999999997</v>
      </c>
      <c r="K74" s="54">
        <v>416</v>
      </c>
      <c r="L74" s="54">
        <v>416</v>
      </c>
      <c r="M74" s="54">
        <f t="shared" si="32"/>
        <v>47439.400000000001</v>
      </c>
      <c r="N74" s="54">
        <v>31908.099999999999</v>
      </c>
      <c r="O74" s="54">
        <f t="shared" ref="O74:O78" si="33">P74</f>
        <v>1424.0999999999999</v>
      </c>
      <c r="P74" s="54">
        <v>1424.0999999999999</v>
      </c>
      <c r="Q74" s="52"/>
      <c r="R74" s="35"/>
      <c r="W74" s="32">
        <f t="shared" si="27"/>
        <v>3177.8000000000029</v>
      </c>
    </row>
    <row r="75" ht="21.600000000000001" customHeight="1">
      <c r="A75" s="14"/>
      <c r="B75" s="57"/>
      <c r="C75" s="14"/>
      <c r="D75" s="14"/>
      <c r="E75" s="14"/>
      <c r="F75" s="11" t="s">
        <v>32</v>
      </c>
      <c r="G75" s="54">
        <f t="shared" si="29"/>
        <v>140974.69999999998</v>
      </c>
      <c r="H75" s="54">
        <f t="shared" si="29"/>
        <v>121230.93000000001</v>
      </c>
      <c r="I75" s="54">
        <v>92049.600000000006</v>
      </c>
      <c r="J75" s="54">
        <f>83840.460000000006+26.190000000000001</f>
        <v>83866.650000000009</v>
      </c>
      <c r="K75" s="54">
        <f>L75</f>
        <v>432.89999999999998</v>
      </c>
      <c r="L75" s="54">
        <f>432.89999999999998</f>
        <v>432.89999999999998</v>
      </c>
      <c r="M75" s="54">
        <f t="shared" si="32"/>
        <v>47439.400000000001</v>
      </c>
      <c r="N75" s="54">
        <f>35813.900000000001+64.680000000000007</f>
        <v>35878.580000000002</v>
      </c>
      <c r="O75" s="54">
        <f t="shared" si="33"/>
        <v>1052.8</v>
      </c>
      <c r="P75" s="54">
        <v>1052.8</v>
      </c>
      <c r="Q75" s="52"/>
      <c r="R75" s="60"/>
      <c r="S75" s="59"/>
      <c r="W75" s="32">
        <f t="shared" si="27"/>
        <v>8182.9499999999971</v>
      </c>
      <c r="X75" s="59">
        <f>I75-J75</f>
        <v>8182.9499999999971</v>
      </c>
    </row>
    <row r="76" s="1" customFormat="1" ht="21.600000000000001" customHeight="1">
      <c r="A76" s="14"/>
      <c r="B76" s="57"/>
      <c r="C76" s="14"/>
      <c r="D76" s="14"/>
      <c r="E76" s="14"/>
      <c r="F76" s="11" t="s">
        <v>33</v>
      </c>
      <c r="G76" s="54">
        <f t="shared" si="29"/>
        <v>143249.5</v>
      </c>
      <c r="H76" s="54">
        <f t="shared" si="29"/>
        <v>84536.5</v>
      </c>
      <c r="I76" s="54">
        <f>83424.199999999997+11935.6-662</f>
        <v>94697.800000000003</v>
      </c>
      <c r="J76" s="54">
        <v>83424.199999999997</v>
      </c>
      <c r="K76" s="54">
        <v>0</v>
      </c>
      <c r="L76" s="54">
        <v>0</v>
      </c>
      <c r="M76" s="54">
        <f t="shared" si="32"/>
        <v>47439.400000000001</v>
      </c>
      <c r="N76" s="54">
        <v>0</v>
      </c>
      <c r="O76" s="54">
        <f t="shared" si="33"/>
        <v>1112.3</v>
      </c>
      <c r="P76" s="54">
        <v>1112.3</v>
      </c>
      <c r="Q76" s="52"/>
      <c r="R76" s="60">
        <f>I76-J76</f>
        <v>11273.600000000006</v>
      </c>
      <c r="S76" s="59"/>
      <c r="W76" s="32">
        <f t="shared" si="27"/>
        <v>11273.600000000006</v>
      </c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</row>
    <row r="77" s="1" customFormat="1" ht="21.600000000000001" customHeight="1">
      <c r="A77" s="14"/>
      <c r="B77" s="57"/>
      <c r="C77" s="14"/>
      <c r="D77" s="14"/>
      <c r="E77" s="14"/>
      <c r="F77" s="11" t="s">
        <v>34</v>
      </c>
      <c r="G77" s="54">
        <f t="shared" si="29"/>
        <v>143234.30000000002</v>
      </c>
      <c r="H77" s="54">
        <f t="shared" si="29"/>
        <v>84926.300000000003</v>
      </c>
      <c r="I77" s="54">
        <f t="shared" si="31"/>
        <v>94697.800000000003</v>
      </c>
      <c r="J77" s="54">
        <f>83424.199999999997+405</f>
        <v>83829.199999999997</v>
      </c>
      <c r="K77" s="54">
        <v>0</v>
      </c>
      <c r="L77" s="54">
        <v>0</v>
      </c>
      <c r="M77" s="54">
        <f t="shared" si="32"/>
        <v>47439.400000000001</v>
      </c>
      <c r="N77" s="54">
        <v>0</v>
      </c>
      <c r="O77" s="54">
        <f t="shared" si="33"/>
        <v>1097.0999999999999</v>
      </c>
      <c r="P77" s="54">
        <v>1097.0999999999999</v>
      </c>
      <c r="Q77" s="52"/>
      <c r="R77" s="35"/>
      <c r="W77" s="32">
        <f t="shared" si="27"/>
        <v>10868.600000000006</v>
      </c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</row>
    <row r="78" s="1" customFormat="1" ht="21.600000000000001" customHeight="1">
      <c r="A78" s="14"/>
      <c r="B78" s="57"/>
      <c r="C78" s="16"/>
      <c r="D78" s="16"/>
      <c r="E78" s="16"/>
      <c r="F78" s="11" t="s">
        <v>35</v>
      </c>
      <c r="G78" s="54">
        <f t="shared" si="29"/>
        <v>143234.30000000002</v>
      </c>
      <c r="H78" s="54">
        <f t="shared" si="29"/>
        <v>84356.300000000003</v>
      </c>
      <c r="I78" s="54">
        <f t="shared" si="31"/>
        <v>94697.800000000003</v>
      </c>
      <c r="J78" s="54">
        <f>83424.199999999997+405-570</f>
        <v>83259.199999999997</v>
      </c>
      <c r="K78" s="54">
        <v>0</v>
      </c>
      <c r="L78" s="54">
        <v>0</v>
      </c>
      <c r="M78" s="54">
        <f t="shared" si="32"/>
        <v>47439.400000000001</v>
      </c>
      <c r="N78" s="54">
        <v>0</v>
      </c>
      <c r="O78" s="54">
        <f t="shared" si="33"/>
        <v>1097.0999999999999</v>
      </c>
      <c r="P78" s="54">
        <v>1097.0999999999999</v>
      </c>
      <c r="Q78" s="52"/>
      <c r="R78" s="35"/>
      <c r="W78" s="32">
        <f t="shared" si="27"/>
        <v>11438.600000000006</v>
      </c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</row>
    <row r="79" ht="15.75">
      <c r="A79" s="14"/>
      <c r="B79" s="57" t="s">
        <v>52</v>
      </c>
      <c r="C79" s="12"/>
      <c r="D79" s="12"/>
      <c r="E79" s="12"/>
      <c r="F79" s="11" t="s">
        <v>22</v>
      </c>
      <c r="G79" s="54">
        <f>SUM(G80:G85)</f>
        <v>3398</v>
      </c>
      <c r="H79" s="54">
        <f t="shared" ref="H79:N79" si="34">SUM(H80:H85)</f>
        <v>80</v>
      </c>
      <c r="I79" s="54">
        <f t="shared" si="34"/>
        <v>2058</v>
      </c>
      <c r="J79" s="54">
        <f t="shared" si="34"/>
        <v>0</v>
      </c>
      <c r="K79" s="54">
        <f>SUM(K80:K85)</f>
        <v>525</v>
      </c>
      <c r="L79" s="54">
        <f>SUM(L80:L85)</f>
        <v>0</v>
      </c>
      <c r="M79" s="54">
        <f t="shared" si="34"/>
        <v>735</v>
      </c>
      <c r="N79" s="54">
        <f t="shared" si="34"/>
        <v>0</v>
      </c>
      <c r="O79" s="54">
        <f>SUM(O80:O85)</f>
        <v>80</v>
      </c>
      <c r="P79" s="54">
        <f>SUM(P80:P85)</f>
        <v>80</v>
      </c>
      <c r="Q79" s="52"/>
      <c r="R79" s="35"/>
      <c r="W79" s="32">
        <f t="shared" si="27"/>
        <v>2058</v>
      </c>
    </row>
    <row r="80" s="8" customFormat="1" ht="24" customHeight="1">
      <c r="A80" s="14"/>
      <c r="B80" s="57"/>
      <c r="C80" s="14"/>
      <c r="D80" s="14"/>
      <c r="E80" s="14"/>
      <c r="F80" s="11" t="s">
        <v>24</v>
      </c>
      <c r="G80" s="54">
        <f>I80+K80+M80+O80</f>
        <v>3398</v>
      </c>
      <c r="H80" s="54">
        <f>J80+L80+N80+P80</f>
        <v>80</v>
      </c>
      <c r="I80" s="54">
        <v>2058</v>
      </c>
      <c r="J80" s="54">
        <v>0</v>
      </c>
      <c r="K80" s="54">
        <v>525</v>
      </c>
      <c r="L80" s="54"/>
      <c r="M80" s="54">
        <f>735</f>
        <v>735</v>
      </c>
      <c r="N80" s="54">
        <v>0</v>
      </c>
      <c r="O80" s="54">
        <v>80</v>
      </c>
      <c r="P80" s="54">
        <f>O80</f>
        <v>80</v>
      </c>
      <c r="Q80" s="52"/>
      <c r="R80" s="35"/>
      <c r="W80" s="32">
        <f t="shared" si="27"/>
        <v>2058</v>
      </c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</row>
    <row r="81" ht="39.75" customHeight="1">
      <c r="A81" s="14"/>
      <c r="B81" s="57"/>
      <c r="C81" s="14"/>
      <c r="D81" s="14"/>
      <c r="E81" s="14"/>
      <c r="F81" s="11" t="s">
        <v>26</v>
      </c>
      <c r="G81" s="61" t="s">
        <v>53</v>
      </c>
      <c r="H81" s="62"/>
      <c r="I81" s="62"/>
      <c r="J81" s="62"/>
      <c r="K81" s="62"/>
      <c r="L81" s="62"/>
      <c r="M81" s="62"/>
      <c r="N81" s="62"/>
      <c r="O81" s="62"/>
      <c r="P81" s="63"/>
      <c r="Q81" s="52"/>
      <c r="R81" s="35"/>
      <c r="W81" s="32">
        <f t="shared" si="27"/>
        <v>0</v>
      </c>
    </row>
    <row r="82" ht="15.6" hidden="1" customHeight="1">
      <c r="A82" s="14"/>
      <c r="B82" s="57"/>
      <c r="C82" s="64"/>
      <c r="D82" s="64"/>
      <c r="E82" s="64"/>
      <c r="F82" s="11" t="s">
        <v>27</v>
      </c>
      <c r="G82" s="65"/>
      <c r="H82" s="66"/>
      <c r="I82" s="66"/>
      <c r="J82" s="66"/>
      <c r="K82" s="66"/>
      <c r="L82" s="66"/>
      <c r="M82" s="66"/>
      <c r="N82" s="66"/>
      <c r="O82" s="66"/>
      <c r="P82" s="67"/>
      <c r="Q82" s="52"/>
      <c r="R82" s="35"/>
      <c r="W82" s="32">
        <f t="shared" si="27"/>
        <v>0</v>
      </c>
    </row>
    <row r="83" ht="15.6" hidden="1" customHeight="1">
      <c r="A83" s="14"/>
      <c r="B83" s="57"/>
      <c r="C83" s="64"/>
      <c r="D83" s="64"/>
      <c r="E83" s="64"/>
      <c r="F83" s="11" t="s">
        <v>28</v>
      </c>
      <c r="G83" s="65"/>
      <c r="H83" s="66"/>
      <c r="I83" s="66"/>
      <c r="J83" s="66"/>
      <c r="K83" s="66"/>
      <c r="L83" s="66"/>
      <c r="M83" s="66"/>
      <c r="N83" s="66"/>
      <c r="O83" s="66"/>
      <c r="P83" s="67"/>
      <c r="Q83" s="52"/>
      <c r="R83" s="35"/>
      <c r="W83" s="32">
        <f t="shared" si="27"/>
        <v>0</v>
      </c>
    </row>
    <row r="84" ht="15.6" hidden="1" customHeight="1">
      <c r="A84" s="14"/>
      <c r="B84" s="57"/>
      <c r="C84" s="64"/>
      <c r="D84" s="64"/>
      <c r="E84" s="64"/>
      <c r="F84" s="11" t="s">
        <v>29</v>
      </c>
      <c r="G84" s="65"/>
      <c r="H84" s="66"/>
      <c r="I84" s="66"/>
      <c r="J84" s="66"/>
      <c r="K84" s="66"/>
      <c r="L84" s="66"/>
      <c r="M84" s="66"/>
      <c r="N84" s="66"/>
      <c r="O84" s="66"/>
      <c r="P84" s="67"/>
      <c r="Q84" s="52"/>
      <c r="R84" s="35"/>
      <c r="W84" s="32">
        <f t="shared" si="27"/>
        <v>0</v>
      </c>
    </row>
    <row r="85" ht="15.6" hidden="1" customHeight="1">
      <c r="A85" s="14"/>
      <c r="B85" s="57"/>
      <c r="C85" s="64"/>
      <c r="D85" s="64"/>
      <c r="E85" s="64"/>
      <c r="F85" s="11" t="s">
        <v>30</v>
      </c>
      <c r="G85" s="68"/>
      <c r="H85" s="69"/>
      <c r="I85" s="69"/>
      <c r="J85" s="69"/>
      <c r="K85" s="69"/>
      <c r="L85" s="69"/>
      <c r="M85" s="69"/>
      <c r="N85" s="69"/>
      <c r="O85" s="69"/>
      <c r="P85" s="70"/>
      <c r="Q85" s="52"/>
      <c r="R85" s="35"/>
      <c r="W85" s="32">
        <f t="shared" si="27"/>
        <v>0</v>
      </c>
    </row>
    <row r="86" ht="15.6" hidden="1" customHeight="1">
      <c r="A86" s="14"/>
      <c r="B86" s="57" t="s">
        <v>54</v>
      </c>
      <c r="C86" s="64"/>
      <c r="D86" s="64"/>
      <c r="E86" s="64"/>
      <c r="F86" s="11" t="s">
        <v>22</v>
      </c>
      <c r="G86" s="54">
        <f>SUM(G87:G92)</f>
        <v>0</v>
      </c>
      <c r="H86" s="54">
        <f t="shared" ref="H86:P86" si="35">SUM(H87:H92)</f>
        <v>0</v>
      </c>
      <c r="I86" s="54">
        <f t="shared" si="35"/>
        <v>0</v>
      </c>
      <c r="J86" s="54">
        <f t="shared" si="35"/>
        <v>0</v>
      </c>
      <c r="K86" s="54">
        <f t="shared" si="35"/>
        <v>0</v>
      </c>
      <c r="L86" s="54">
        <f t="shared" si="35"/>
        <v>0</v>
      </c>
      <c r="M86" s="54">
        <f t="shared" si="35"/>
        <v>0</v>
      </c>
      <c r="N86" s="54">
        <f t="shared" si="35"/>
        <v>0</v>
      </c>
      <c r="O86" s="54">
        <f t="shared" si="35"/>
        <v>0</v>
      </c>
      <c r="P86" s="54">
        <f t="shared" si="35"/>
        <v>0</v>
      </c>
      <c r="Q86" s="52"/>
      <c r="R86" s="35"/>
      <c r="W86" s="32">
        <f t="shared" si="27"/>
        <v>0</v>
      </c>
    </row>
    <row r="87" s="8" customFormat="1" ht="15.6" hidden="1" customHeight="1">
      <c r="A87" s="14"/>
      <c r="B87" s="57"/>
      <c r="C87" s="64"/>
      <c r="D87" s="64"/>
      <c r="E87" s="64"/>
      <c r="F87" s="11" t="s">
        <v>24</v>
      </c>
      <c r="G87" s="54">
        <f t="shared" ref="G87:H92" si="36">I87+K87+M87+O87</f>
        <v>0</v>
      </c>
      <c r="H87" s="54">
        <f t="shared" si="36"/>
        <v>0</v>
      </c>
      <c r="I87" s="54"/>
      <c r="J87" s="54"/>
      <c r="K87" s="54"/>
      <c r="L87" s="54"/>
      <c r="M87" s="54"/>
      <c r="N87" s="54"/>
      <c r="O87" s="54"/>
      <c r="P87" s="54"/>
      <c r="Q87" s="52"/>
      <c r="R87" s="35"/>
      <c r="W87" s="32">
        <f t="shared" si="27"/>
        <v>0</v>
      </c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</row>
    <row r="88" ht="15.6" hidden="1" customHeight="1">
      <c r="A88" s="14"/>
      <c r="B88" s="57"/>
      <c r="C88" s="64"/>
      <c r="D88" s="64"/>
      <c r="E88" s="64"/>
      <c r="F88" s="11" t="s">
        <v>26</v>
      </c>
      <c r="G88" s="54">
        <f t="shared" si="36"/>
        <v>0</v>
      </c>
      <c r="H88" s="54">
        <f t="shared" si="36"/>
        <v>0</v>
      </c>
      <c r="I88" s="54"/>
      <c r="J88" s="54"/>
      <c r="K88" s="54"/>
      <c r="L88" s="54"/>
      <c r="M88" s="54"/>
      <c r="N88" s="54"/>
      <c r="O88" s="54"/>
      <c r="P88" s="54"/>
      <c r="Q88" s="52"/>
      <c r="R88" s="35"/>
      <c r="W88" s="32">
        <f t="shared" si="27"/>
        <v>0</v>
      </c>
    </row>
    <row r="89" ht="15.6" hidden="1" customHeight="1">
      <c r="A89" s="14"/>
      <c r="B89" s="57"/>
      <c r="C89" s="64"/>
      <c r="D89" s="64"/>
      <c r="E89" s="64"/>
      <c r="F89" s="11" t="s">
        <v>27</v>
      </c>
      <c r="G89" s="54">
        <f t="shared" si="36"/>
        <v>0</v>
      </c>
      <c r="H89" s="54">
        <f t="shared" si="36"/>
        <v>0</v>
      </c>
      <c r="I89" s="54"/>
      <c r="J89" s="54"/>
      <c r="K89" s="54"/>
      <c r="L89" s="54"/>
      <c r="M89" s="54"/>
      <c r="N89" s="54"/>
      <c r="O89" s="54"/>
      <c r="P89" s="54"/>
      <c r="Q89" s="52"/>
      <c r="R89" s="35"/>
      <c r="W89" s="32">
        <f t="shared" si="27"/>
        <v>0</v>
      </c>
    </row>
    <row r="90" ht="15.6" hidden="1" customHeight="1">
      <c r="A90" s="14"/>
      <c r="B90" s="57"/>
      <c r="C90" s="64"/>
      <c r="D90" s="64"/>
      <c r="E90" s="64"/>
      <c r="F90" s="11" t="s">
        <v>28</v>
      </c>
      <c r="G90" s="54">
        <f t="shared" si="36"/>
        <v>0</v>
      </c>
      <c r="H90" s="54">
        <f t="shared" si="36"/>
        <v>0</v>
      </c>
      <c r="I90" s="54"/>
      <c r="J90" s="54"/>
      <c r="K90" s="54"/>
      <c r="L90" s="54"/>
      <c r="M90" s="54"/>
      <c r="N90" s="54"/>
      <c r="O90" s="54"/>
      <c r="P90" s="54"/>
      <c r="Q90" s="52"/>
      <c r="R90" s="35"/>
      <c r="W90" s="32">
        <f t="shared" si="27"/>
        <v>0</v>
      </c>
    </row>
    <row r="91" ht="15.6" hidden="1" customHeight="1">
      <c r="A91" s="14"/>
      <c r="B91" s="57"/>
      <c r="C91" s="64"/>
      <c r="D91" s="64"/>
      <c r="E91" s="64"/>
      <c r="F91" s="11" t="s">
        <v>29</v>
      </c>
      <c r="G91" s="54">
        <f t="shared" si="36"/>
        <v>0</v>
      </c>
      <c r="H91" s="54">
        <f t="shared" si="36"/>
        <v>0</v>
      </c>
      <c r="I91" s="54"/>
      <c r="J91" s="54"/>
      <c r="K91" s="54"/>
      <c r="L91" s="54"/>
      <c r="M91" s="54"/>
      <c r="N91" s="54"/>
      <c r="O91" s="54"/>
      <c r="P91" s="54"/>
      <c r="Q91" s="52"/>
      <c r="R91" s="35"/>
      <c r="W91" s="32">
        <f t="shared" si="27"/>
        <v>0</v>
      </c>
    </row>
    <row r="92" ht="15.6" hidden="1" customHeight="1">
      <c r="A92" s="14"/>
      <c r="B92" s="57"/>
      <c r="C92" s="64"/>
      <c r="D92" s="64"/>
      <c r="E92" s="64"/>
      <c r="F92" s="11" t="s">
        <v>30</v>
      </c>
      <c r="G92" s="54">
        <f t="shared" si="36"/>
        <v>0</v>
      </c>
      <c r="H92" s="54">
        <f t="shared" si="36"/>
        <v>0</v>
      </c>
      <c r="I92" s="54"/>
      <c r="J92" s="54"/>
      <c r="K92" s="54"/>
      <c r="L92" s="54"/>
      <c r="M92" s="54"/>
      <c r="N92" s="54"/>
      <c r="O92" s="54"/>
      <c r="P92" s="54"/>
      <c r="Q92" s="52"/>
      <c r="R92" s="35"/>
      <c r="W92" s="32">
        <f t="shared" si="27"/>
        <v>0</v>
      </c>
    </row>
    <row r="93" ht="15.6" customHeight="1">
      <c r="A93" s="14"/>
      <c r="B93" s="71" t="s">
        <v>55</v>
      </c>
      <c r="C93" s="72"/>
      <c r="D93" s="12" t="s">
        <v>56</v>
      </c>
      <c r="E93" s="12" t="s">
        <v>49</v>
      </c>
      <c r="F93" s="11" t="s">
        <v>22</v>
      </c>
      <c r="G93" s="54">
        <f>SUM(G94:G104)</f>
        <v>12175</v>
      </c>
      <c r="H93" s="54">
        <f t="shared" ref="H93:P93" si="37">SUM(H94:H104)</f>
        <v>1477.0999999999999</v>
      </c>
      <c r="I93" s="54">
        <f t="shared" si="37"/>
        <v>12095</v>
      </c>
      <c r="J93" s="54">
        <f t="shared" si="37"/>
        <v>1397.0999999999999</v>
      </c>
      <c r="K93" s="54">
        <f t="shared" si="37"/>
        <v>0</v>
      </c>
      <c r="L93" s="54">
        <f t="shared" si="37"/>
        <v>0</v>
      </c>
      <c r="M93" s="54">
        <f t="shared" si="37"/>
        <v>0</v>
      </c>
      <c r="N93" s="54">
        <f t="shared" si="37"/>
        <v>0</v>
      </c>
      <c r="O93" s="54">
        <f t="shared" si="37"/>
        <v>80</v>
      </c>
      <c r="P93" s="54">
        <f t="shared" si="37"/>
        <v>80</v>
      </c>
      <c r="Q93" s="52"/>
      <c r="R93" s="35"/>
      <c r="W93" s="32">
        <f t="shared" si="27"/>
        <v>10697.9</v>
      </c>
    </row>
    <row r="94" s="8" customFormat="1">
      <c r="A94" s="14"/>
      <c r="B94" s="73"/>
      <c r="C94" s="64"/>
      <c r="D94" s="14"/>
      <c r="E94" s="14"/>
      <c r="F94" s="11" t="s">
        <v>24</v>
      </c>
      <c r="G94" s="54">
        <f t="shared" ref="G94:H104" si="38">I94+K94+M94+O94</f>
        <v>340</v>
      </c>
      <c r="H94" s="54">
        <f t="shared" si="38"/>
        <v>80</v>
      </c>
      <c r="I94" s="54">
        <v>260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80</v>
      </c>
      <c r="P94" s="54">
        <f>O94</f>
        <v>80</v>
      </c>
      <c r="Q94" s="52"/>
      <c r="R94" s="35"/>
      <c r="W94" s="32">
        <f t="shared" si="27"/>
        <v>260</v>
      </c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</row>
    <row r="95" ht="15.75">
      <c r="A95" s="14"/>
      <c r="B95" s="73"/>
      <c r="C95" s="11" t="s">
        <v>57</v>
      </c>
      <c r="D95" s="14"/>
      <c r="E95" s="14"/>
      <c r="F95" s="11" t="s">
        <v>26</v>
      </c>
      <c r="G95" s="54">
        <f t="shared" si="38"/>
        <v>1220</v>
      </c>
      <c r="H95" s="54">
        <f t="shared" si="38"/>
        <v>260</v>
      </c>
      <c r="I95" s="54">
        <f>J95+960</f>
        <v>1220</v>
      </c>
      <c r="J95" s="54">
        <v>260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2"/>
      <c r="R95" s="35"/>
      <c r="W95" s="32">
        <f t="shared" si="27"/>
        <v>960</v>
      </c>
      <c r="AD95" s="59"/>
    </row>
    <row r="96" ht="91.5" customHeight="1">
      <c r="A96" s="14"/>
      <c r="B96" s="73"/>
      <c r="C96" s="11"/>
      <c r="D96" s="14"/>
      <c r="E96" s="14"/>
      <c r="F96" s="11" t="s">
        <v>27</v>
      </c>
      <c r="G96" s="54">
        <f t="shared" si="38"/>
        <v>554</v>
      </c>
      <c r="H96" s="54">
        <f t="shared" si="38"/>
        <v>260</v>
      </c>
      <c r="I96" s="54">
        <f>J96+294</f>
        <v>554</v>
      </c>
      <c r="J96" s="54">
        <v>260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2"/>
      <c r="R96" s="35"/>
      <c r="W96" s="32">
        <f t="shared" si="27"/>
        <v>294</v>
      </c>
    </row>
    <row r="97" ht="15.75">
      <c r="A97" s="14"/>
      <c r="B97" s="73"/>
      <c r="C97" s="11"/>
      <c r="D97" s="14"/>
      <c r="E97" s="14"/>
      <c r="F97" s="11" t="s">
        <v>28</v>
      </c>
      <c r="G97" s="54">
        <f t="shared" si="38"/>
        <v>554</v>
      </c>
      <c r="H97" s="54">
        <f t="shared" si="38"/>
        <v>0</v>
      </c>
      <c r="I97" s="54">
        <f t="shared" ref="I97:I99" si="39">I96</f>
        <v>554</v>
      </c>
      <c r="J97" s="54">
        <f>260-260</f>
        <v>0</v>
      </c>
      <c r="K97" s="54">
        <v>0</v>
      </c>
      <c r="L97" s="54">
        <v>0</v>
      </c>
      <c r="M97" s="54">
        <v>0</v>
      </c>
      <c r="N97" s="54">
        <v>0</v>
      </c>
      <c r="O97" s="54">
        <f t="shared" ref="O97:O99" si="40">1.1000000000000001*O96</f>
        <v>0</v>
      </c>
      <c r="P97" s="54">
        <v>0</v>
      </c>
      <c r="Q97" s="52"/>
      <c r="R97" s="35"/>
      <c r="W97" s="32">
        <f t="shared" si="27"/>
        <v>554</v>
      </c>
    </row>
    <row r="98" ht="15.75">
      <c r="A98" s="14"/>
      <c r="B98" s="73"/>
      <c r="C98" s="11"/>
      <c r="D98" s="14"/>
      <c r="E98" s="14"/>
      <c r="F98" s="11" t="s">
        <v>29</v>
      </c>
      <c r="G98" s="54">
        <f t="shared" si="38"/>
        <v>554</v>
      </c>
      <c r="H98" s="54">
        <f t="shared" si="38"/>
        <v>260</v>
      </c>
      <c r="I98" s="54">
        <f t="shared" si="39"/>
        <v>554</v>
      </c>
      <c r="J98" s="54">
        <v>260</v>
      </c>
      <c r="K98" s="54">
        <v>0</v>
      </c>
      <c r="L98" s="54">
        <v>0</v>
      </c>
      <c r="M98" s="54">
        <v>0</v>
      </c>
      <c r="N98" s="54">
        <v>0</v>
      </c>
      <c r="O98" s="54">
        <f t="shared" si="40"/>
        <v>0</v>
      </c>
      <c r="P98" s="54">
        <v>0</v>
      </c>
      <c r="Q98" s="52"/>
      <c r="R98" s="35"/>
      <c r="W98" s="32">
        <f t="shared" si="27"/>
        <v>294</v>
      </c>
    </row>
    <row r="99" ht="15.75">
      <c r="A99" s="14"/>
      <c r="B99" s="73"/>
      <c r="C99" s="11"/>
      <c r="D99" s="14"/>
      <c r="E99" s="14"/>
      <c r="F99" s="11" t="s">
        <v>30</v>
      </c>
      <c r="G99" s="54">
        <f t="shared" si="38"/>
        <v>554</v>
      </c>
      <c r="H99" s="54">
        <f t="shared" si="38"/>
        <v>132.09999999999999</v>
      </c>
      <c r="I99" s="54">
        <f t="shared" si="39"/>
        <v>554</v>
      </c>
      <c r="J99" s="54">
        <v>132.09999999999999</v>
      </c>
      <c r="K99" s="54">
        <v>0</v>
      </c>
      <c r="L99" s="54">
        <v>0</v>
      </c>
      <c r="M99" s="54">
        <v>0</v>
      </c>
      <c r="N99" s="54">
        <v>0</v>
      </c>
      <c r="O99" s="54">
        <f t="shared" si="40"/>
        <v>0</v>
      </c>
      <c r="P99" s="54">
        <v>0</v>
      </c>
      <c r="Q99" s="52"/>
      <c r="R99" s="35"/>
      <c r="W99" s="32">
        <f t="shared" si="27"/>
        <v>421.89999999999998</v>
      </c>
    </row>
    <row r="100" ht="15.75">
      <c r="A100" s="14"/>
      <c r="B100" s="73"/>
      <c r="C100" s="11"/>
      <c r="D100" s="14"/>
      <c r="E100" s="14"/>
      <c r="F100" s="11" t="s">
        <v>31</v>
      </c>
      <c r="G100" s="54">
        <f t="shared" si="38"/>
        <v>135</v>
      </c>
      <c r="H100" s="54">
        <f t="shared" si="38"/>
        <v>97</v>
      </c>
      <c r="I100" s="54">
        <v>135</v>
      </c>
      <c r="J100" s="54">
        <v>97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2"/>
      <c r="R100" s="35"/>
      <c r="W100" s="32">
        <f t="shared" si="27"/>
        <v>38</v>
      </c>
    </row>
    <row r="101" ht="15.75">
      <c r="A101" s="14"/>
      <c r="B101" s="73"/>
      <c r="C101" s="11"/>
      <c r="D101" s="14"/>
      <c r="E101" s="14"/>
      <c r="F101" s="11" t="s">
        <v>32</v>
      </c>
      <c r="G101" s="54">
        <f t="shared" si="38"/>
        <v>5987</v>
      </c>
      <c r="H101" s="54">
        <f t="shared" si="38"/>
        <v>97</v>
      </c>
      <c r="I101" s="54">
        <f>5530+97+360</f>
        <v>5987</v>
      </c>
      <c r="J101" s="54">
        <v>97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2"/>
      <c r="R101" s="35"/>
      <c r="W101" s="32">
        <f t="shared" si="27"/>
        <v>5890</v>
      </c>
      <c r="X101" s="59">
        <f>I101-J101</f>
        <v>5890</v>
      </c>
    </row>
    <row r="102" s="1" customFormat="1">
      <c r="A102" s="14"/>
      <c r="B102" s="73"/>
      <c r="C102" s="11"/>
      <c r="D102" s="14"/>
      <c r="E102" s="14"/>
      <c r="F102" s="11" t="s">
        <v>33</v>
      </c>
      <c r="G102" s="54">
        <f t="shared" si="38"/>
        <v>759</v>
      </c>
      <c r="H102" s="54">
        <f t="shared" si="38"/>
        <v>97</v>
      </c>
      <c r="I102" s="54">
        <f>97+662</f>
        <v>759</v>
      </c>
      <c r="J102" s="54">
        <v>97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2"/>
      <c r="R102" s="60">
        <f>I102-J102</f>
        <v>662</v>
      </c>
      <c r="W102" s="32">
        <f t="shared" si="27"/>
        <v>662</v>
      </c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</row>
    <row r="103" s="1" customFormat="1">
      <c r="A103" s="14"/>
      <c r="B103" s="73"/>
      <c r="C103" s="11"/>
      <c r="D103" s="14"/>
      <c r="E103" s="14"/>
      <c r="F103" s="11" t="s">
        <v>34</v>
      </c>
      <c r="G103" s="54">
        <f t="shared" si="38"/>
        <v>759</v>
      </c>
      <c r="H103" s="54">
        <f t="shared" si="38"/>
        <v>97</v>
      </c>
      <c r="I103" s="54">
        <v>759</v>
      </c>
      <c r="J103" s="54">
        <v>97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2"/>
      <c r="R103" s="35"/>
      <c r="W103" s="32">
        <f t="shared" si="27"/>
        <v>662</v>
      </c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</row>
    <row r="104" s="1" customFormat="1">
      <c r="A104" s="14"/>
      <c r="B104" s="74"/>
      <c r="C104" s="11"/>
      <c r="D104" s="16"/>
      <c r="E104" s="16"/>
      <c r="F104" s="11" t="s">
        <v>35</v>
      </c>
      <c r="G104" s="54">
        <f t="shared" si="38"/>
        <v>759</v>
      </c>
      <c r="H104" s="54">
        <f t="shared" si="38"/>
        <v>97</v>
      </c>
      <c r="I104" s="54">
        <v>759</v>
      </c>
      <c r="J104" s="54">
        <v>97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2"/>
      <c r="R104" s="35"/>
      <c r="W104" s="32">
        <f t="shared" si="27"/>
        <v>662</v>
      </c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</row>
    <row r="105" ht="15.75" customHeight="1">
      <c r="A105" s="14"/>
      <c r="B105" s="71" t="s">
        <v>58</v>
      </c>
      <c r="F105" s="11" t="s">
        <v>22</v>
      </c>
      <c r="G105" s="54">
        <f>SUM(G106:G116)</f>
        <v>2059.6400000000003</v>
      </c>
      <c r="H105" s="54">
        <f t="shared" ref="H105:P105" si="41">SUM(H106:H116)</f>
        <v>1871.9400000000001</v>
      </c>
      <c r="I105" s="54">
        <f t="shared" si="41"/>
        <v>2059.6400000000003</v>
      </c>
      <c r="J105" s="54">
        <f t="shared" si="41"/>
        <v>1871.9400000000001</v>
      </c>
      <c r="K105" s="54">
        <f t="shared" si="41"/>
        <v>0</v>
      </c>
      <c r="L105" s="54">
        <f t="shared" si="41"/>
        <v>0</v>
      </c>
      <c r="M105" s="54">
        <f t="shared" si="41"/>
        <v>0</v>
      </c>
      <c r="N105" s="54">
        <f t="shared" si="41"/>
        <v>0</v>
      </c>
      <c r="O105" s="54">
        <f t="shared" si="41"/>
        <v>0</v>
      </c>
      <c r="P105" s="54">
        <f t="shared" si="41"/>
        <v>0</v>
      </c>
      <c r="Q105" s="52"/>
      <c r="R105" s="35"/>
      <c r="W105" s="32">
        <f t="shared" si="27"/>
        <v>187.70000000000027</v>
      </c>
    </row>
    <row r="106" ht="30.75" customHeight="1">
      <c r="A106" s="14"/>
      <c r="B106" s="73"/>
      <c r="C106" s="11" t="s">
        <v>59</v>
      </c>
      <c r="D106" s="12" t="s">
        <v>56</v>
      </c>
      <c r="E106" s="12" t="s">
        <v>49</v>
      </c>
      <c r="F106" s="11" t="s">
        <v>24</v>
      </c>
      <c r="G106" s="54">
        <f t="shared" ref="G106:H116" si="42">I106+K106+M106+O106</f>
        <v>155</v>
      </c>
      <c r="H106" s="54">
        <f t="shared" si="42"/>
        <v>155</v>
      </c>
      <c r="I106" s="54">
        <v>155</v>
      </c>
      <c r="J106" s="54">
        <v>155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2"/>
      <c r="R106" s="35"/>
      <c r="W106" s="32">
        <f t="shared" si="27"/>
        <v>0</v>
      </c>
    </row>
    <row r="107" ht="25.149999999999999" customHeight="1">
      <c r="A107" s="14"/>
      <c r="B107" s="73"/>
      <c r="C107" s="12" t="s">
        <v>60</v>
      </c>
      <c r="D107" s="14"/>
      <c r="E107" s="14"/>
      <c r="F107" s="11" t="s">
        <v>26</v>
      </c>
      <c r="G107" s="54">
        <f t="shared" si="42"/>
        <v>155</v>
      </c>
      <c r="H107" s="54">
        <f t="shared" si="42"/>
        <v>155</v>
      </c>
      <c r="I107" s="54">
        <v>155</v>
      </c>
      <c r="J107" s="54">
        <v>155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2"/>
      <c r="R107" s="35"/>
      <c r="W107" s="32">
        <f t="shared" si="27"/>
        <v>0</v>
      </c>
    </row>
    <row r="108" ht="77.25" customHeight="1">
      <c r="A108" s="14"/>
      <c r="B108" s="73"/>
      <c r="C108" s="14"/>
      <c r="D108" s="14"/>
      <c r="E108" s="14"/>
      <c r="F108" s="11" t="s">
        <v>27</v>
      </c>
      <c r="G108" s="54">
        <f t="shared" si="42"/>
        <v>155</v>
      </c>
      <c r="H108" s="54">
        <f t="shared" si="42"/>
        <v>155</v>
      </c>
      <c r="I108" s="54">
        <v>155</v>
      </c>
      <c r="J108" s="54">
        <v>155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2"/>
      <c r="R108" s="35"/>
      <c r="W108" s="32">
        <f t="shared" si="27"/>
        <v>0</v>
      </c>
    </row>
    <row r="109" ht="15.75">
      <c r="A109" s="14"/>
      <c r="B109" s="73"/>
      <c r="C109" s="14"/>
      <c r="D109" s="14"/>
      <c r="E109" s="14"/>
      <c r="F109" s="11" t="s">
        <v>28</v>
      </c>
      <c r="G109" s="54">
        <f t="shared" si="42"/>
        <v>161.19999999999999</v>
      </c>
      <c r="H109" s="54">
        <f t="shared" si="42"/>
        <v>161.19999999999999</v>
      </c>
      <c r="I109" s="54">
        <f>J109</f>
        <v>161.19999999999999</v>
      </c>
      <c r="J109" s="54">
        <v>161.19999999999999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2"/>
      <c r="R109" s="35"/>
      <c r="W109" s="32">
        <f t="shared" si="27"/>
        <v>0</v>
      </c>
    </row>
    <row r="110" ht="15.75">
      <c r="A110" s="14"/>
      <c r="B110" s="73"/>
      <c r="C110" s="14"/>
      <c r="D110" s="14"/>
      <c r="E110" s="14"/>
      <c r="F110" s="11" t="s">
        <v>29</v>
      </c>
      <c r="G110" s="54">
        <f t="shared" si="42"/>
        <v>161.19999999999999</v>
      </c>
      <c r="H110" s="54">
        <f t="shared" si="42"/>
        <v>161.19999999999999</v>
      </c>
      <c r="I110" s="54">
        <f>I109</f>
        <v>161.19999999999999</v>
      </c>
      <c r="J110" s="54">
        <v>161.19999999999999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2"/>
      <c r="R110" s="35"/>
      <c r="W110" s="32">
        <f t="shared" si="27"/>
        <v>0</v>
      </c>
    </row>
    <row r="111" ht="15.75">
      <c r="A111" s="14"/>
      <c r="B111" s="73"/>
      <c r="C111" s="14"/>
      <c r="D111" s="14"/>
      <c r="E111" s="14"/>
      <c r="F111" s="11" t="s">
        <v>30</v>
      </c>
      <c r="G111" s="54">
        <f t="shared" si="42"/>
        <v>187.69999999999999</v>
      </c>
      <c r="H111" s="54">
        <f t="shared" si="42"/>
        <v>0</v>
      </c>
      <c r="I111" s="54">
        <f>187.69999999999999</f>
        <v>187.69999999999999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2"/>
      <c r="R111" s="35"/>
      <c r="W111" s="32">
        <f t="shared" si="27"/>
        <v>187.69999999999999</v>
      </c>
    </row>
    <row r="112" ht="15.75">
      <c r="A112" s="14"/>
      <c r="B112" s="73"/>
      <c r="C112" s="14"/>
      <c r="D112" s="14"/>
      <c r="E112" s="14"/>
      <c r="F112" s="11" t="s">
        <v>31</v>
      </c>
      <c r="G112" s="54">
        <f t="shared" si="42"/>
        <v>187.69999999999999</v>
      </c>
      <c r="H112" s="54">
        <f t="shared" si="42"/>
        <v>187.69999999999999</v>
      </c>
      <c r="I112" s="54">
        <f>I111</f>
        <v>187.69999999999999</v>
      </c>
      <c r="J112" s="54">
        <v>187.69999999999999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2"/>
      <c r="R112" s="35"/>
      <c r="W112" s="32">
        <f t="shared" si="27"/>
        <v>0</v>
      </c>
    </row>
    <row r="113" ht="15.75">
      <c r="A113" s="14"/>
      <c r="B113" s="73"/>
      <c r="C113" s="14"/>
      <c r="D113" s="14"/>
      <c r="E113" s="14"/>
      <c r="F113" s="11" t="s">
        <v>32</v>
      </c>
      <c r="G113" s="54">
        <f t="shared" si="42"/>
        <v>214.34</v>
      </c>
      <c r="H113" s="54">
        <f t="shared" si="42"/>
        <v>214.34</v>
      </c>
      <c r="I113" s="54">
        <v>214.34</v>
      </c>
      <c r="J113" s="54">
        <v>214.34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2"/>
      <c r="R113" s="35"/>
      <c r="W113" s="32">
        <f t="shared" si="27"/>
        <v>0</v>
      </c>
    </row>
    <row r="114" s="1" customFormat="1">
      <c r="A114" s="14"/>
      <c r="B114" s="73"/>
      <c r="C114" s="14"/>
      <c r="D114" s="14"/>
      <c r="E114" s="14"/>
      <c r="F114" s="11" t="s">
        <v>33</v>
      </c>
      <c r="G114" s="54">
        <f t="shared" si="42"/>
        <v>227.5</v>
      </c>
      <c r="H114" s="54">
        <f t="shared" si="42"/>
        <v>227.5</v>
      </c>
      <c r="I114" s="54">
        <v>227.5</v>
      </c>
      <c r="J114" s="54">
        <v>227.5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2"/>
      <c r="R114" s="35"/>
      <c r="W114" s="32">
        <f t="shared" si="27"/>
        <v>0</v>
      </c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</row>
    <row r="115" s="1" customFormat="1">
      <c r="A115" s="14"/>
      <c r="B115" s="73"/>
      <c r="C115" s="14"/>
      <c r="D115" s="14"/>
      <c r="E115" s="14"/>
      <c r="F115" s="11" t="s">
        <v>34</v>
      </c>
      <c r="G115" s="54">
        <f t="shared" si="42"/>
        <v>227.5</v>
      </c>
      <c r="H115" s="54">
        <f t="shared" si="42"/>
        <v>227.5</v>
      </c>
      <c r="I115" s="54">
        <f t="shared" ref="I115:I116" si="43">I114</f>
        <v>227.5</v>
      </c>
      <c r="J115" s="54">
        <v>227.5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2"/>
      <c r="R115" s="35"/>
      <c r="W115" s="32">
        <f t="shared" si="27"/>
        <v>0</v>
      </c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</row>
    <row r="116" s="1" customFormat="1">
      <c r="A116" s="14"/>
      <c r="B116" s="74"/>
      <c r="C116" s="16"/>
      <c r="D116" s="16"/>
      <c r="E116" s="16"/>
      <c r="F116" s="11" t="s">
        <v>35</v>
      </c>
      <c r="G116" s="54">
        <f t="shared" si="42"/>
        <v>227.5</v>
      </c>
      <c r="H116" s="54">
        <f t="shared" si="42"/>
        <v>227.5</v>
      </c>
      <c r="I116" s="54">
        <f t="shared" si="43"/>
        <v>227.5</v>
      </c>
      <c r="J116" s="54">
        <v>227.5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75"/>
      <c r="R116" s="35"/>
      <c r="W116" s="32">
        <f t="shared" si="27"/>
        <v>0</v>
      </c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</row>
    <row r="117" ht="15.75">
      <c r="A117" s="76" t="s">
        <v>61</v>
      </c>
      <c r="B117" s="50" t="s">
        <v>62</v>
      </c>
      <c r="C117" s="13"/>
      <c r="D117" s="13"/>
      <c r="E117" s="13"/>
      <c r="F117" s="13" t="s">
        <v>22</v>
      </c>
      <c r="G117" s="23">
        <f>SUM(G118:G128)</f>
        <v>290583.73999999999</v>
      </c>
      <c r="H117" s="23">
        <f t="shared" ref="H117:P117" si="44">SUM(H118:H128)</f>
        <v>242434.98000000001</v>
      </c>
      <c r="I117" s="23">
        <f>SUM(I118:I128)</f>
        <v>155091.20000000001</v>
      </c>
      <c r="J117" s="23">
        <f t="shared" si="44"/>
        <v>124888.04000000001</v>
      </c>
      <c r="K117" s="23">
        <f t="shared" si="44"/>
        <v>0</v>
      </c>
      <c r="L117" s="23">
        <f t="shared" si="44"/>
        <v>0</v>
      </c>
      <c r="M117" s="23">
        <f t="shared" si="44"/>
        <v>46573.120000000003</v>
      </c>
      <c r="N117" s="23">
        <f>SUM(N118:N128)</f>
        <v>28627.52</v>
      </c>
      <c r="O117" s="23">
        <f t="shared" si="44"/>
        <v>88919.419999999984</v>
      </c>
      <c r="P117" s="23">
        <f t="shared" si="44"/>
        <v>88919.419999999984</v>
      </c>
      <c r="Q117" s="51" t="s">
        <v>37</v>
      </c>
      <c r="R117" s="35"/>
      <c r="W117" s="32">
        <f t="shared" si="27"/>
        <v>30203.160000000003</v>
      </c>
    </row>
    <row r="118" s="26" customFormat="1" ht="36.75" customHeight="1">
      <c r="A118" s="76"/>
      <c r="B118" s="77" t="s">
        <v>63</v>
      </c>
      <c r="C118" s="13" t="s">
        <v>44</v>
      </c>
      <c r="D118" s="22"/>
      <c r="E118" s="22"/>
      <c r="F118" s="13" t="s">
        <v>24</v>
      </c>
      <c r="G118" s="23">
        <f t="shared" ref="G118:G121" si="45">I118+K118+M118+O118</f>
        <v>18924</v>
      </c>
      <c r="H118" s="23">
        <f t="shared" ref="G118:H122" si="46">J118+L118+N118+P118</f>
        <v>17923.5</v>
      </c>
      <c r="I118" s="23">
        <f t="shared" ref="I118:I123" si="47">I130+I142+I149</f>
        <v>8382.7999999999993</v>
      </c>
      <c r="J118" s="23">
        <f>J130+J142+J149</f>
        <v>7582.3000000000002</v>
      </c>
      <c r="K118" s="23">
        <f t="shared" ref="K118:L123" si="48">K130+K142</f>
        <v>0</v>
      </c>
      <c r="L118" s="23">
        <f>L130+L142</f>
        <v>0</v>
      </c>
      <c r="M118" s="23">
        <f t="shared" ref="M118:P123" si="49">M130+M142</f>
        <v>1841.2</v>
      </c>
      <c r="N118" s="23">
        <f t="shared" si="49"/>
        <v>1641.2</v>
      </c>
      <c r="O118" s="23">
        <f t="shared" si="49"/>
        <v>8700</v>
      </c>
      <c r="P118" s="23">
        <f t="shared" si="49"/>
        <v>8700</v>
      </c>
      <c r="Q118" s="52"/>
      <c r="R118" s="35"/>
      <c r="W118" s="32">
        <f t="shared" si="27"/>
        <v>800.49999999999909</v>
      </c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</row>
    <row r="119" s="26" customFormat="1" ht="15.75" customHeight="1">
      <c r="A119" s="76"/>
      <c r="B119" s="78"/>
      <c r="C119" s="22" t="s">
        <v>64</v>
      </c>
      <c r="D119" s="28"/>
      <c r="E119" s="28"/>
      <c r="F119" s="13" t="s">
        <v>26</v>
      </c>
      <c r="G119" s="23">
        <f t="shared" si="45"/>
        <v>19837</v>
      </c>
      <c r="H119" s="23">
        <f t="shared" si="46"/>
        <v>18611.699999999997</v>
      </c>
      <c r="I119" s="23">
        <f t="shared" si="47"/>
        <v>9108.7999999999993</v>
      </c>
      <c r="J119" s="23">
        <f>J131+J150</f>
        <v>8083.5</v>
      </c>
      <c r="K119" s="23">
        <f t="shared" si="48"/>
        <v>0</v>
      </c>
      <c r="L119" s="23">
        <f t="shared" si="48"/>
        <v>0</v>
      </c>
      <c r="M119" s="23">
        <f t="shared" si="49"/>
        <v>1652.8999999999999</v>
      </c>
      <c r="N119" s="23">
        <f t="shared" si="49"/>
        <v>1452.8999999999999</v>
      </c>
      <c r="O119" s="23">
        <f t="shared" si="49"/>
        <v>9075.2999999999993</v>
      </c>
      <c r="P119" s="23">
        <f t="shared" si="49"/>
        <v>9075.2999999999993</v>
      </c>
      <c r="Q119" s="52"/>
      <c r="R119" s="35"/>
      <c r="W119" s="32">
        <f t="shared" si="27"/>
        <v>1025.2999999999993</v>
      </c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</row>
    <row r="120" s="26" customFormat="1">
      <c r="A120" s="76"/>
      <c r="B120" s="78"/>
      <c r="C120" s="28"/>
      <c r="D120" s="28"/>
      <c r="E120" s="28"/>
      <c r="F120" s="13" t="s">
        <v>27</v>
      </c>
      <c r="G120" s="23">
        <f t="shared" si="45"/>
        <v>22904.720000000001</v>
      </c>
      <c r="H120" s="23">
        <f t="shared" si="46"/>
        <v>22362.419999999998</v>
      </c>
      <c r="I120" s="23">
        <f t="shared" si="47"/>
        <v>10458.4</v>
      </c>
      <c r="J120" s="23">
        <f t="shared" ref="J120:J123" si="50">J132+J144+J151</f>
        <v>9916.1000000000004</v>
      </c>
      <c r="K120" s="23">
        <f t="shared" si="48"/>
        <v>0</v>
      </c>
      <c r="L120" s="23">
        <f t="shared" si="48"/>
        <v>0</v>
      </c>
      <c r="M120" s="23">
        <f t="shared" si="49"/>
        <v>2868.4200000000001</v>
      </c>
      <c r="N120" s="23">
        <f t="shared" si="49"/>
        <v>2868.4200000000001</v>
      </c>
      <c r="O120" s="23">
        <f t="shared" si="49"/>
        <v>9577.8999999999996</v>
      </c>
      <c r="P120" s="23">
        <f t="shared" si="49"/>
        <v>9577.8999999999996</v>
      </c>
      <c r="Q120" s="52"/>
      <c r="R120" s="35"/>
      <c r="S120" s="11" t="s">
        <v>63</v>
      </c>
      <c r="T120" s="11"/>
      <c r="W120" s="32">
        <f t="shared" si="27"/>
        <v>542.29999999999927</v>
      </c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</row>
    <row r="121" s="26" customFormat="1">
      <c r="A121" s="76"/>
      <c r="B121" s="78"/>
      <c r="C121" s="28"/>
      <c r="D121" s="28"/>
      <c r="E121" s="28"/>
      <c r="F121" s="13" t="s">
        <v>28</v>
      </c>
      <c r="G121" s="23">
        <f t="shared" si="45"/>
        <v>24572.800000000003</v>
      </c>
      <c r="H121" s="23">
        <f t="shared" si="46"/>
        <v>23056</v>
      </c>
      <c r="I121" s="23">
        <f t="shared" si="47"/>
        <v>10458.4</v>
      </c>
      <c r="J121" s="23">
        <f t="shared" si="50"/>
        <v>8941.6000000000004</v>
      </c>
      <c r="K121" s="23">
        <f t="shared" si="48"/>
        <v>0</v>
      </c>
      <c r="L121" s="23">
        <f t="shared" si="48"/>
        <v>0</v>
      </c>
      <c r="M121" s="23">
        <f t="shared" si="49"/>
        <v>4700.8000000000002</v>
      </c>
      <c r="N121" s="23">
        <f t="shared" si="49"/>
        <v>4700.8000000000002</v>
      </c>
      <c r="O121" s="23">
        <f t="shared" si="49"/>
        <v>9413.6000000000004</v>
      </c>
      <c r="P121" s="23">
        <f t="shared" si="49"/>
        <v>9413.6000000000004</v>
      </c>
      <c r="Q121" s="52"/>
      <c r="R121" s="35"/>
      <c r="S121" s="11"/>
      <c r="T121" s="11"/>
      <c r="W121" s="32">
        <f t="shared" si="27"/>
        <v>1516.7999999999993</v>
      </c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</row>
    <row r="122" s="26" customFormat="1">
      <c r="A122" s="76"/>
      <c r="B122" s="78"/>
      <c r="C122" s="28"/>
      <c r="D122" s="28"/>
      <c r="E122" s="28"/>
      <c r="F122" s="13" t="s">
        <v>29</v>
      </c>
      <c r="G122" s="23">
        <f t="shared" si="46"/>
        <v>22769.599999999999</v>
      </c>
      <c r="H122" s="23">
        <f t="shared" si="46"/>
        <v>21237.299999999999</v>
      </c>
      <c r="I122" s="23">
        <f t="shared" si="47"/>
        <v>10458.4</v>
      </c>
      <c r="J122" s="23">
        <f t="shared" si="50"/>
        <v>9206.5</v>
      </c>
      <c r="K122" s="23">
        <f t="shared" si="48"/>
        <v>0</v>
      </c>
      <c r="L122" s="23">
        <f t="shared" si="48"/>
        <v>0</v>
      </c>
      <c r="M122" s="23">
        <f t="shared" si="49"/>
        <v>4735.8000000000002</v>
      </c>
      <c r="N122" s="23">
        <f t="shared" si="49"/>
        <v>4455.3999999999996</v>
      </c>
      <c r="O122" s="23">
        <f t="shared" si="49"/>
        <v>7575.3999999999996</v>
      </c>
      <c r="P122" s="23">
        <f t="shared" si="49"/>
        <v>7575.3999999999996</v>
      </c>
      <c r="Q122" s="52"/>
      <c r="R122" s="35"/>
      <c r="S122" s="55">
        <f t="shared" ref="S122:S128" si="51">H122/G122*100</f>
        <v>93.270413182488937</v>
      </c>
      <c r="T122" s="13" t="s">
        <v>29</v>
      </c>
      <c r="W122" s="32">
        <f t="shared" si="27"/>
        <v>1251.8999999999996</v>
      </c>
      <c r="Z122" s="79"/>
      <c r="AA122" s="79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</row>
    <row r="123" s="26" customFormat="1">
      <c r="A123" s="76"/>
      <c r="B123" s="78"/>
      <c r="C123" s="28"/>
      <c r="D123" s="28"/>
      <c r="E123" s="28"/>
      <c r="F123" s="13" t="s">
        <v>30</v>
      </c>
      <c r="G123" s="23">
        <f t="shared" ref="G123:H128" si="52">I123+K123+M123+O123</f>
        <v>24579.299999999999</v>
      </c>
      <c r="H123" s="23">
        <f t="shared" si="52"/>
        <v>19256.299999999999</v>
      </c>
      <c r="I123" s="23">
        <f t="shared" si="47"/>
        <v>16993.299999999999</v>
      </c>
      <c r="J123" s="23">
        <f t="shared" si="50"/>
        <v>13325</v>
      </c>
      <c r="K123" s="23">
        <f t="shared" si="48"/>
        <v>0</v>
      </c>
      <c r="L123" s="23">
        <f t="shared" si="48"/>
        <v>0</v>
      </c>
      <c r="M123" s="23">
        <f t="shared" si="49"/>
        <v>4735.8000000000002</v>
      </c>
      <c r="N123" s="23">
        <f t="shared" si="49"/>
        <v>3081.0999999999999</v>
      </c>
      <c r="O123" s="23">
        <f t="shared" si="49"/>
        <v>2850.1999999999998</v>
      </c>
      <c r="P123" s="23">
        <f t="shared" si="49"/>
        <v>2850.1999999999998</v>
      </c>
      <c r="Q123" s="52"/>
      <c r="R123" s="35"/>
      <c r="S123" s="55">
        <f t="shared" si="51"/>
        <v>78.343565520580327</v>
      </c>
      <c r="T123" s="13" t="s">
        <v>30</v>
      </c>
      <c r="W123" s="32">
        <f t="shared" si="27"/>
        <v>3668.2999999999993</v>
      </c>
      <c r="Y123" s="32"/>
      <c r="Z123" s="79"/>
      <c r="AA123" s="79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</row>
    <row r="124" s="26" customFormat="1">
      <c r="A124" s="76"/>
      <c r="B124" s="78"/>
      <c r="C124" s="28"/>
      <c r="D124" s="28"/>
      <c r="E124" s="28"/>
      <c r="F124" s="13" t="s">
        <v>31</v>
      </c>
      <c r="G124" s="23">
        <f t="shared" si="52"/>
        <v>30144.699999999997</v>
      </c>
      <c r="H124" s="23">
        <f t="shared" si="52"/>
        <v>25993.599999999999</v>
      </c>
      <c r="I124" s="23">
        <f t="shared" ref="I124:P128" si="53">I136+I155</f>
        <v>17893.299999999999</v>
      </c>
      <c r="J124" s="23">
        <f t="shared" ref="J124:P124" si="54">J136+J155</f>
        <v>13742.200000000001</v>
      </c>
      <c r="K124" s="23">
        <f t="shared" si="54"/>
        <v>0</v>
      </c>
      <c r="L124" s="23">
        <f t="shared" si="54"/>
        <v>0</v>
      </c>
      <c r="M124" s="23">
        <f t="shared" si="54"/>
        <v>4809</v>
      </c>
      <c r="N124" s="23">
        <f t="shared" si="54"/>
        <v>4809</v>
      </c>
      <c r="O124" s="23">
        <f t="shared" si="54"/>
        <v>7442.3999999999996</v>
      </c>
      <c r="P124" s="23">
        <f t="shared" si="54"/>
        <v>7442.3999999999996</v>
      </c>
      <c r="Q124" s="52"/>
      <c r="R124" s="35"/>
      <c r="S124" s="55">
        <f t="shared" si="51"/>
        <v>86.229420097065159</v>
      </c>
      <c r="T124" s="13" t="s">
        <v>31</v>
      </c>
      <c r="W124" s="32">
        <f t="shared" si="27"/>
        <v>4151.0999999999985</v>
      </c>
      <c r="Z124" s="79"/>
      <c r="AA124" s="79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</row>
    <row r="125" s="26" customFormat="1">
      <c r="A125" s="76"/>
      <c r="B125" s="78"/>
      <c r="C125" s="28"/>
      <c r="D125" s="28"/>
      <c r="E125" s="28"/>
      <c r="F125" s="13" t="s">
        <v>32</v>
      </c>
      <c r="G125" s="23">
        <f t="shared" si="52"/>
        <v>32753.599999999999</v>
      </c>
      <c r="H125" s="23">
        <f t="shared" si="52"/>
        <v>28945.699999999997</v>
      </c>
      <c r="I125" s="23">
        <f t="shared" si="53"/>
        <v>17334.200000000001</v>
      </c>
      <c r="J125" s="23">
        <f t="shared" si="53"/>
        <v>13526.299999999999</v>
      </c>
      <c r="K125" s="23">
        <f t="shared" si="53"/>
        <v>0</v>
      </c>
      <c r="L125" s="23">
        <f t="shared" si="53"/>
        <v>0</v>
      </c>
      <c r="M125" s="23">
        <f t="shared" si="53"/>
        <v>5307.3000000000002</v>
      </c>
      <c r="N125" s="23">
        <f t="shared" si="53"/>
        <v>5307.3000000000002</v>
      </c>
      <c r="O125" s="23">
        <f t="shared" si="53"/>
        <v>10112.1</v>
      </c>
      <c r="P125" s="23">
        <f t="shared" si="53"/>
        <v>10112.1</v>
      </c>
      <c r="Q125" s="52"/>
      <c r="R125" s="35"/>
      <c r="S125" s="55">
        <f t="shared" si="51"/>
        <v>88.374102388745044</v>
      </c>
      <c r="T125" s="13" t="s">
        <v>32</v>
      </c>
      <c r="W125" s="32">
        <f t="shared" si="27"/>
        <v>3807.9000000000015</v>
      </c>
      <c r="Z125" s="79"/>
      <c r="AA125" s="79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</row>
    <row r="126" s="26" customFormat="1">
      <c r="A126" s="76"/>
      <c r="B126" s="78"/>
      <c r="C126" s="28"/>
      <c r="D126" s="28"/>
      <c r="E126" s="28"/>
      <c r="F126" s="13" t="s">
        <v>33</v>
      </c>
      <c r="G126" s="23">
        <f t="shared" si="52"/>
        <v>31694.620000000003</v>
      </c>
      <c r="H126" s="23">
        <f t="shared" si="52"/>
        <v>21926.360000000001</v>
      </c>
      <c r="I126" s="23">
        <f t="shared" si="53"/>
        <v>18001.200000000001</v>
      </c>
      <c r="J126" s="23">
        <f t="shared" si="53"/>
        <v>13384.540000000001</v>
      </c>
      <c r="K126" s="23">
        <f t="shared" si="53"/>
        <v>0</v>
      </c>
      <c r="L126" s="23">
        <f t="shared" si="53"/>
        <v>0</v>
      </c>
      <c r="M126" s="23">
        <f t="shared" si="53"/>
        <v>5307.3000000000002</v>
      </c>
      <c r="N126" s="23">
        <f t="shared" si="53"/>
        <v>155.69999999999999</v>
      </c>
      <c r="O126" s="23">
        <f t="shared" si="53"/>
        <v>8386.1200000000008</v>
      </c>
      <c r="P126" s="23">
        <f t="shared" si="53"/>
        <v>8386.1200000000008</v>
      </c>
      <c r="Q126" s="52"/>
      <c r="R126" s="35"/>
      <c r="S126" s="55">
        <f t="shared" si="51"/>
        <v>69.180069046418595</v>
      </c>
      <c r="T126" s="13" t="s">
        <v>33</v>
      </c>
      <c r="W126" s="32">
        <f t="shared" ref="W126:W189" si="55">I126-J126</f>
        <v>4616.6599999999999</v>
      </c>
      <c r="Z126" s="79"/>
      <c r="AA126" s="79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</row>
    <row r="127" s="26" customFormat="1">
      <c r="A127" s="76"/>
      <c r="B127" s="78"/>
      <c r="C127" s="28"/>
      <c r="D127" s="28"/>
      <c r="E127" s="28"/>
      <c r="F127" s="13" t="s">
        <v>34</v>
      </c>
      <c r="G127" s="23">
        <f t="shared" si="52"/>
        <v>31201.700000000001</v>
      </c>
      <c r="H127" s="23">
        <f t="shared" si="52"/>
        <v>21638.900000000001</v>
      </c>
      <c r="I127" s="23">
        <f t="shared" si="53"/>
        <v>18001.200000000001</v>
      </c>
      <c r="J127" s="23">
        <f t="shared" si="53"/>
        <v>13590</v>
      </c>
      <c r="K127" s="23">
        <f t="shared" si="53"/>
        <v>0</v>
      </c>
      <c r="L127" s="23">
        <f t="shared" si="53"/>
        <v>0</v>
      </c>
      <c r="M127" s="23">
        <f t="shared" si="53"/>
        <v>5307.3000000000002</v>
      </c>
      <c r="N127" s="23">
        <f t="shared" si="53"/>
        <v>155.69999999999999</v>
      </c>
      <c r="O127" s="23">
        <f t="shared" si="53"/>
        <v>7893.1999999999998</v>
      </c>
      <c r="P127" s="23">
        <f t="shared" si="53"/>
        <v>7893.1999999999998</v>
      </c>
      <c r="Q127" s="52"/>
      <c r="R127" s="35"/>
      <c r="S127" s="55">
        <f t="shared" si="51"/>
        <v>69.351669941060905</v>
      </c>
      <c r="T127" s="13" t="s">
        <v>34</v>
      </c>
      <c r="W127" s="32">
        <f t="shared" si="55"/>
        <v>4411.2000000000007</v>
      </c>
      <c r="Z127" s="79"/>
      <c r="AA127" s="79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</row>
    <row r="128" s="26" customFormat="1">
      <c r="A128" s="76"/>
      <c r="B128" s="80"/>
      <c r="C128" s="41"/>
      <c r="D128" s="41"/>
      <c r="E128" s="41"/>
      <c r="F128" s="13" t="s">
        <v>35</v>
      </c>
      <c r="G128" s="23">
        <f t="shared" si="52"/>
        <v>31201.700000000001</v>
      </c>
      <c r="H128" s="23">
        <f t="shared" si="52"/>
        <v>21483.200000000001</v>
      </c>
      <c r="I128" s="23">
        <f t="shared" si="53"/>
        <v>18001.200000000001</v>
      </c>
      <c r="J128" s="23">
        <f t="shared" si="53"/>
        <v>13590</v>
      </c>
      <c r="K128" s="23">
        <f t="shared" si="53"/>
        <v>0</v>
      </c>
      <c r="L128" s="23">
        <f t="shared" si="53"/>
        <v>0</v>
      </c>
      <c r="M128" s="23">
        <f t="shared" si="53"/>
        <v>5307.3000000000002</v>
      </c>
      <c r="N128" s="23">
        <f t="shared" si="53"/>
        <v>0</v>
      </c>
      <c r="O128" s="23">
        <f t="shared" si="53"/>
        <v>7893.1999999999998</v>
      </c>
      <c r="P128" s="23">
        <f t="shared" si="53"/>
        <v>7893.1999999999998</v>
      </c>
      <c r="Q128" s="52"/>
      <c r="R128" s="35"/>
      <c r="S128" s="55">
        <f t="shared" si="51"/>
        <v>68.852658669239176</v>
      </c>
      <c r="T128" s="13" t="s">
        <v>35</v>
      </c>
      <c r="W128" s="32">
        <f t="shared" si="55"/>
        <v>4411.2000000000007</v>
      </c>
      <c r="Z128" s="79"/>
      <c r="AA128" s="79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</row>
    <row r="129" s="26" customFormat="1">
      <c r="A129" s="76"/>
      <c r="B129" s="57" t="s">
        <v>65</v>
      </c>
      <c r="C129" s="72"/>
      <c r="D129" s="12" t="s">
        <v>48</v>
      </c>
      <c r="E129" s="12" t="s">
        <v>49</v>
      </c>
      <c r="F129" s="11" t="s">
        <v>22</v>
      </c>
      <c r="G129" s="54">
        <f>SUM(G130:G140)</f>
        <v>286530.73999999999</v>
      </c>
      <c r="H129" s="54">
        <f t="shared" ref="H129:P129" si="56">SUM(H130:H140)</f>
        <v>242434.98000000001</v>
      </c>
      <c r="I129" s="54">
        <f t="shared" si="56"/>
        <v>151038.20000000001</v>
      </c>
      <c r="J129" s="54">
        <f t="shared" si="56"/>
        <v>124888.04000000001</v>
      </c>
      <c r="K129" s="54">
        <f t="shared" si="56"/>
        <v>0</v>
      </c>
      <c r="L129" s="54">
        <f t="shared" si="56"/>
        <v>0</v>
      </c>
      <c r="M129" s="54">
        <f t="shared" si="56"/>
        <v>46573.120000000003</v>
      </c>
      <c r="N129" s="54">
        <f>SUM(N130:N140)</f>
        <v>28627.52</v>
      </c>
      <c r="O129" s="54">
        <f t="shared" si="56"/>
        <v>88919.419999999984</v>
      </c>
      <c r="P129" s="54">
        <f t="shared" si="56"/>
        <v>88919.419999999984</v>
      </c>
      <c r="Q129" s="52"/>
      <c r="R129" s="35"/>
      <c r="T129" s="13"/>
      <c r="W129" s="32">
        <f t="shared" si="55"/>
        <v>26150.160000000003</v>
      </c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</row>
    <row r="130" s="8" customFormat="1" ht="57.75" customHeight="1">
      <c r="A130" s="76"/>
      <c r="B130" s="57"/>
      <c r="C130" s="11" t="s">
        <v>66</v>
      </c>
      <c r="D130" s="14"/>
      <c r="E130" s="14"/>
      <c r="F130" s="11" t="s">
        <v>24</v>
      </c>
      <c r="G130" s="54">
        <f t="shared" ref="G130:G140" si="57">I130+K130+M130+O130</f>
        <v>18704</v>
      </c>
      <c r="H130" s="54">
        <f t="shared" ref="H130:H140" si="58">J130+L130+N130+P130</f>
        <v>17923.5</v>
      </c>
      <c r="I130" s="54">
        <f>743.79999999999995+J130-163.30000000000001</f>
        <v>8162.8000000000002</v>
      </c>
      <c r="J130" s="54">
        <v>7582.3000000000002</v>
      </c>
      <c r="K130" s="54">
        <v>0</v>
      </c>
      <c r="L130" s="54">
        <v>0</v>
      </c>
      <c r="M130" s="54">
        <f t="shared" ref="M130:M131" si="59">200+N130</f>
        <v>1841.2</v>
      </c>
      <c r="N130" s="54">
        <v>1641.2</v>
      </c>
      <c r="O130" s="54">
        <v>8700</v>
      </c>
      <c r="P130" s="54">
        <f t="shared" ref="P130:P135" si="60">O130</f>
        <v>8700</v>
      </c>
      <c r="Q130" s="52"/>
      <c r="R130" s="35"/>
      <c r="W130" s="32">
        <f t="shared" si="55"/>
        <v>580.5</v>
      </c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</row>
    <row r="131" ht="53.25" customHeight="1">
      <c r="A131" s="76"/>
      <c r="B131" s="57"/>
      <c r="C131" s="11" t="s">
        <v>67</v>
      </c>
      <c r="D131" s="14"/>
      <c r="E131" s="14"/>
      <c r="F131" s="11" t="s">
        <v>26</v>
      </c>
      <c r="G131" s="54">
        <f t="shared" si="57"/>
        <v>19837</v>
      </c>
      <c r="H131" s="54">
        <f t="shared" si="58"/>
        <v>18611.699999999997</v>
      </c>
      <c r="I131" s="54">
        <f>J131+75.900000000000006+193.40000000000001+46+230+480</f>
        <v>9108.7999999999993</v>
      </c>
      <c r="J131" s="54">
        <f>8393.5-250+30+30-120</f>
        <v>8083.5</v>
      </c>
      <c r="K131" s="54">
        <v>0</v>
      </c>
      <c r="L131" s="54">
        <v>0</v>
      </c>
      <c r="M131" s="54">
        <f t="shared" si="59"/>
        <v>1652.8999999999999</v>
      </c>
      <c r="N131" s="54">
        <f>3129.5999999999999+15-1691.7</f>
        <v>1452.8999999999999</v>
      </c>
      <c r="O131" s="54">
        <f>9075.2999999999993-O143</f>
        <v>9075.2999999999993</v>
      </c>
      <c r="P131" s="54">
        <f t="shared" si="60"/>
        <v>9075.2999999999993</v>
      </c>
      <c r="Q131" s="52"/>
      <c r="R131" s="35"/>
      <c r="W131" s="32">
        <f t="shared" si="55"/>
        <v>1025.2999999999993</v>
      </c>
    </row>
    <row r="132" ht="15.6" customHeight="1">
      <c r="A132" s="76"/>
      <c r="B132" s="57"/>
      <c r="C132" s="12" t="s">
        <v>68</v>
      </c>
      <c r="D132" s="14"/>
      <c r="E132" s="14"/>
      <c r="F132" s="11" t="s">
        <v>27</v>
      </c>
      <c r="G132" s="54">
        <f t="shared" si="57"/>
        <v>22904.720000000001</v>
      </c>
      <c r="H132" s="54">
        <f t="shared" si="58"/>
        <v>22362.419999999998</v>
      </c>
      <c r="I132" s="54">
        <f>J132+542.29999999999995</f>
        <v>10458.4</v>
      </c>
      <c r="J132" s="54">
        <f>9812.6000000000004+103.5</f>
        <v>9916.1000000000004</v>
      </c>
      <c r="K132" s="54">
        <v>0</v>
      </c>
      <c r="L132" s="54">
        <v>0</v>
      </c>
      <c r="M132" s="54">
        <f>N132</f>
        <v>2868.4200000000001</v>
      </c>
      <c r="N132" s="54">
        <f>2868.4200000000001</f>
        <v>2868.4200000000001</v>
      </c>
      <c r="O132" s="54">
        <f>9577.8999999999996-O144</f>
        <v>9577.8999999999996</v>
      </c>
      <c r="P132" s="54">
        <f t="shared" si="60"/>
        <v>9577.8999999999996</v>
      </c>
      <c r="Q132" s="52"/>
      <c r="R132" s="35"/>
      <c r="W132" s="32">
        <f t="shared" si="55"/>
        <v>542.29999999999927</v>
      </c>
    </row>
    <row r="133" ht="15.75">
      <c r="A133" s="76"/>
      <c r="B133" s="57"/>
      <c r="C133" s="14"/>
      <c r="D133" s="14"/>
      <c r="E133" s="14"/>
      <c r="F133" s="11" t="s">
        <v>28</v>
      </c>
      <c r="G133" s="54">
        <f t="shared" si="57"/>
        <v>24572.800000000003</v>
      </c>
      <c r="H133" s="54">
        <f t="shared" si="58"/>
        <v>23056</v>
      </c>
      <c r="I133" s="54">
        <f t="shared" ref="I133:I140" si="61">I132</f>
        <v>10458.4</v>
      </c>
      <c r="J133" s="54">
        <v>8941.6000000000004</v>
      </c>
      <c r="K133" s="54">
        <v>0</v>
      </c>
      <c r="L133" s="54">
        <v>0</v>
      </c>
      <c r="M133" s="54">
        <v>4700.8000000000002</v>
      </c>
      <c r="N133" s="54">
        <f>M133</f>
        <v>4700.8000000000002</v>
      </c>
      <c r="O133" s="54">
        <f>9413.6000000000004</f>
        <v>9413.6000000000004</v>
      </c>
      <c r="P133" s="54">
        <f t="shared" si="60"/>
        <v>9413.6000000000004</v>
      </c>
      <c r="Q133" s="52"/>
      <c r="R133" s="35"/>
      <c r="W133" s="32">
        <f t="shared" si="55"/>
        <v>1516.7999999999993</v>
      </c>
    </row>
    <row r="134" ht="15.75">
      <c r="A134" s="76"/>
      <c r="B134" s="57"/>
      <c r="C134" s="14"/>
      <c r="D134" s="14"/>
      <c r="E134" s="14"/>
      <c r="F134" s="11" t="s">
        <v>29</v>
      </c>
      <c r="G134" s="54">
        <f t="shared" si="57"/>
        <v>22769.599999999999</v>
      </c>
      <c r="H134" s="54">
        <f t="shared" si="58"/>
        <v>21237.299999999999</v>
      </c>
      <c r="I134" s="54">
        <f t="shared" si="61"/>
        <v>10458.4</v>
      </c>
      <c r="J134" s="54">
        <f>8877.3999999999996+300+29.100000000000001</f>
        <v>9206.5</v>
      </c>
      <c r="K134" s="54">
        <v>0</v>
      </c>
      <c r="L134" s="54">
        <v>0</v>
      </c>
      <c r="M134" s="54">
        <v>4735.8000000000002</v>
      </c>
      <c r="N134" s="54">
        <v>4455.3999999999996</v>
      </c>
      <c r="O134" s="54">
        <f>7548.8999999999996+26.5</f>
        <v>7575.3999999999996</v>
      </c>
      <c r="P134" s="54">
        <f t="shared" si="60"/>
        <v>7575.3999999999996</v>
      </c>
      <c r="Q134" s="52"/>
      <c r="R134" s="35"/>
      <c r="W134" s="32">
        <f t="shared" si="55"/>
        <v>1251.8999999999996</v>
      </c>
    </row>
    <row r="135" ht="15.75">
      <c r="A135" s="76"/>
      <c r="B135" s="57"/>
      <c r="C135" s="14"/>
      <c r="D135" s="14"/>
      <c r="E135" s="14"/>
      <c r="F135" s="11" t="s">
        <v>30</v>
      </c>
      <c r="G135" s="54">
        <f t="shared" si="57"/>
        <v>24579.299999999999</v>
      </c>
      <c r="H135" s="54">
        <f t="shared" si="58"/>
        <v>19256.299999999999</v>
      </c>
      <c r="I135" s="54">
        <v>16993.299999999999</v>
      </c>
      <c r="J135" s="54">
        <v>13325</v>
      </c>
      <c r="K135" s="54">
        <v>0</v>
      </c>
      <c r="L135" s="54">
        <v>0</v>
      </c>
      <c r="M135" s="54">
        <f t="shared" ref="M135:M140" si="62">M134</f>
        <v>4735.8000000000002</v>
      </c>
      <c r="N135" s="54">
        <v>3081.0999999999999</v>
      </c>
      <c r="O135" s="54">
        <v>2850.1999999999998</v>
      </c>
      <c r="P135" s="54">
        <f t="shared" si="60"/>
        <v>2850.1999999999998</v>
      </c>
      <c r="Q135" s="52"/>
      <c r="R135" s="60">
        <f>I135-J135</f>
        <v>3668.2999999999993</v>
      </c>
      <c r="W135" s="32">
        <f t="shared" si="55"/>
        <v>3668.2999999999993</v>
      </c>
      <c r="Y135" s="59"/>
      <c r="Z135" s="59"/>
    </row>
    <row r="136" ht="15.75">
      <c r="A136" s="76"/>
      <c r="B136" s="57"/>
      <c r="C136" s="14"/>
      <c r="D136" s="14"/>
      <c r="E136" s="14"/>
      <c r="F136" s="11" t="s">
        <v>31</v>
      </c>
      <c r="G136" s="54">
        <f t="shared" si="57"/>
        <v>29244.699999999997</v>
      </c>
      <c r="H136" s="54">
        <f t="shared" si="58"/>
        <v>25993.599999999999</v>
      </c>
      <c r="I136" s="54">
        <f t="shared" si="61"/>
        <v>16993.299999999999</v>
      </c>
      <c r="J136" s="54">
        <v>13742.200000000001</v>
      </c>
      <c r="K136" s="54">
        <v>0</v>
      </c>
      <c r="L136" s="54">
        <v>0</v>
      </c>
      <c r="M136" s="54">
        <f t="shared" ref="M136:M137" si="63">N136</f>
        <v>4809</v>
      </c>
      <c r="N136" s="54">
        <v>4809</v>
      </c>
      <c r="O136" s="54">
        <f t="shared" ref="O136:O140" si="64">P136</f>
        <v>7442.3999999999996</v>
      </c>
      <c r="P136" s="54">
        <v>7442.3999999999996</v>
      </c>
      <c r="Q136" s="52"/>
      <c r="R136" s="35"/>
      <c r="W136" s="32">
        <f t="shared" si="55"/>
        <v>3251.0999999999985</v>
      </c>
    </row>
    <row r="137" ht="15.75">
      <c r="A137" s="76"/>
      <c r="B137" s="57"/>
      <c r="C137" s="14"/>
      <c r="D137" s="14"/>
      <c r="E137" s="14"/>
      <c r="F137" s="11" t="s">
        <v>32</v>
      </c>
      <c r="G137" s="54">
        <f t="shared" si="57"/>
        <v>32520.599999999999</v>
      </c>
      <c r="H137" s="54">
        <f t="shared" si="58"/>
        <v>28945.699999999997</v>
      </c>
      <c r="I137" s="54">
        <f>3600+13501.200000000001</f>
        <v>17101.200000000001</v>
      </c>
      <c r="J137" s="54">
        <f>13526.299999999999</f>
        <v>13526.299999999999</v>
      </c>
      <c r="K137" s="54">
        <v>0</v>
      </c>
      <c r="L137" s="54">
        <v>0</v>
      </c>
      <c r="M137" s="54">
        <f t="shared" si="63"/>
        <v>5307.3000000000002</v>
      </c>
      <c r="N137" s="54">
        <f>5307.3000000000002</f>
        <v>5307.3000000000002</v>
      </c>
      <c r="O137" s="54">
        <f t="shared" si="64"/>
        <v>10112.1</v>
      </c>
      <c r="P137" s="54">
        <v>10112.1</v>
      </c>
      <c r="Q137" s="52"/>
      <c r="R137" s="35"/>
      <c r="W137" s="32">
        <f t="shared" si="55"/>
        <v>3574.9000000000015</v>
      </c>
      <c r="X137" s="59">
        <f>I137-J137</f>
        <v>3574.9000000000015</v>
      </c>
    </row>
    <row r="138" s="1" customFormat="1">
      <c r="A138" s="76"/>
      <c r="B138" s="57"/>
      <c r="C138" s="14"/>
      <c r="D138" s="14"/>
      <c r="E138" s="14"/>
      <c r="F138" s="11" t="s">
        <v>33</v>
      </c>
      <c r="G138" s="54">
        <f t="shared" si="57"/>
        <v>30794.620000000003</v>
      </c>
      <c r="H138" s="54">
        <f t="shared" si="58"/>
        <v>21926.360000000001</v>
      </c>
      <c r="I138" s="54">
        <f t="shared" si="61"/>
        <v>17101.200000000001</v>
      </c>
      <c r="J138" s="54">
        <f>13384.540000000001</f>
        <v>13384.540000000001</v>
      </c>
      <c r="K138" s="54">
        <v>0</v>
      </c>
      <c r="L138" s="54">
        <v>0</v>
      </c>
      <c r="M138" s="54">
        <f t="shared" si="62"/>
        <v>5307.3000000000002</v>
      </c>
      <c r="N138" s="54">
        <f t="shared" ref="N138:N139" si="65">94.700000000000003+61</f>
        <v>155.69999999999999</v>
      </c>
      <c r="O138" s="54">
        <f t="shared" si="64"/>
        <v>8386.1200000000008</v>
      </c>
      <c r="P138" s="54">
        <v>8386.1200000000008</v>
      </c>
      <c r="Q138" s="52"/>
      <c r="R138" s="60">
        <f>I138-J138</f>
        <v>3716.6599999999999</v>
      </c>
      <c r="S138" s="59">
        <f>I138-J138</f>
        <v>3716.6599999999999</v>
      </c>
      <c r="W138" s="32">
        <f t="shared" si="55"/>
        <v>3716.6599999999999</v>
      </c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</row>
    <row r="139" s="1" customFormat="1">
      <c r="A139" s="76"/>
      <c r="B139" s="57"/>
      <c r="C139" s="14"/>
      <c r="D139" s="14"/>
      <c r="E139" s="14"/>
      <c r="F139" s="11" t="s">
        <v>34</v>
      </c>
      <c r="G139" s="54">
        <f t="shared" si="57"/>
        <v>30301.700000000001</v>
      </c>
      <c r="H139" s="54">
        <f t="shared" si="58"/>
        <v>21638.900000000001</v>
      </c>
      <c r="I139" s="54">
        <f t="shared" si="61"/>
        <v>17101.200000000001</v>
      </c>
      <c r="J139" s="54">
        <f t="shared" ref="J139:J140" si="66">13384.5+205.5</f>
        <v>13590</v>
      </c>
      <c r="K139" s="54">
        <v>0</v>
      </c>
      <c r="L139" s="54">
        <v>0</v>
      </c>
      <c r="M139" s="54">
        <f t="shared" si="62"/>
        <v>5307.3000000000002</v>
      </c>
      <c r="N139" s="54">
        <f t="shared" si="65"/>
        <v>155.69999999999999</v>
      </c>
      <c r="O139" s="54">
        <f t="shared" si="64"/>
        <v>7893.1999999999998</v>
      </c>
      <c r="P139" s="54">
        <v>7893.1999999999998</v>
      </c>
      <c r="Q139" s="52"/>
      <c r="R139" s="35"/>
      <c r="W139" s="32">
        <f t="shared" si="55"/>
        <v>3511.2000000000007</v>
      </c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</row>
    <row r="140" s="1" customFormat="1" ht="37.899999999999999" customHeight="1">
      <c r="A140" s="76"/>
      <c r="B140" s="57"/>
      <c r="C140" s="16"/>
      <c r="D140" s="16"/>
      <c r="E140" s="16"/>
      <c r="F140" s="11" t="s">
        <v>35</v>
      </c>
      <c r="G140" s="54">
        <f t="shared" si="57"/>
        <v>30301.700000000001</v>
      </c>
      <c r="H140" s="54">
        <f t="shared" si="58"/>
        <v>21483.200000000001</v>
      </c>
      <c r="I140" s="54">
        <f t="shared" si="61"/>
        <v>17101.200000000001</v>
      </c>
      <c r="J140" s="54">
        <f t="shared" si="66"/>
        <v>13590</v>
      </c>
      <c r="K140" s="54">
        <v>0</v>
      </c>
      <c r="L140" s="54">
        <v>0</v>
      </c>
      <c r="M140" s="54">
        <f t="shared" si="62"/>
        <v>5307.3000000000002</v>
      </c>
      <c r="N140" s="54">
        <v>0</v>
      </c>
      <c r="O140" s="54">
        <f t="shared" si="64"/>
        <v>7893.1999999999998</v>
      </c>
      <c r="P140" s="54">
        <v>7893.1999999999998</v>
      </c>
      <c r="Q140" s="52"/>
      <c r="R140" s="35"/>
      <c r="W140" s="32">
        <f t="shared" si="55"/>
        <v>3511.2000000000007</v>
      </c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</row>
    <row r="141" s="26" customFormat="1">
      <c r="A141" s="76"/>
      <c r="B141" s="71" t="s">
        <v>69</v>
      </c>
      <c r="C141" s="12" t="s">
        <v>70</v>
      </c>
      <c r="D141" s="12"/>
      <c r="E141" s="12"/>
      <c r="F141" s="11" t="s">
        <v>22</v>
      </c>
      <c r="G141" s="54">
        <f>SUM(G142:G147)</f>
        <v>220</v>
      </c>
      <c r="H141" s="54">
        <f>SUM(H142:H147)</f>
        <v>0</v>
      </c>
      <c r="I141" s="54">
        <f t="shared" ref="I141:N141" si="67">SUM(I142:I147)</f>
        <v>220</v>
      </c>
      <c r="J141" s="54">
        <f>SUM(J142:J147)</f>
        <v>0</v>
      </c>
      <c r="K141" s="54">
        <f t="shared" si="67"/>
        <v>0</v>
      </c>
      <c r="L141" s="54">
        <f t="shared" si="67"/>
        <v>0</v>
      </c>
      <c r="M141" s="54">
        <f t="shared" si="67"/>
        <v>0</v>
      </c>
      <c r="N141" s="54">
        <f t="shared" si="67"/>
        <v>0</v>
      </c>
      <c r="O141" s="54">
        <f>SUM(O142:O147)</f>
        <v>0</v>
      </c>
      <c r="P141" s="54">
        <f>SUM(P142:P147)</f>
        <v>0</v>
      </c>
      <c r="Q141" s="52"/>
      <c r="R141" s="35"/>
      <c r="W141" s="32">
        <f t="shared" si="55"/>
        <v>220</v>
      </c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</row>
    <row r="142" s="58" customFormat="1" ht="88.150000000000006" customHeight="1">
      <c r="A142" s="76"/>
      <c r="B142" s="73"/>
      <c r="C142" s="14"/>
      <c r="D142" s="14"/>
      <c r="E142" s="14"/>
      <c r="F142" s="11" t="s">
        <v>24</v>
      </c>
      <c r="G142" s="54">
        <f>I142+K142+M142+O142</f>
        <v>220</v>
      </c>
      <c r="H142" s="54">
        <f>J142+L142+N142+P142</f>
        <v>0</v>
      </c>
      <c r="I142" s="54">
        <v>220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f>O142</f>
        <v>0</v>
      </c>
      <c r="Q142" s="52"/>
      <c r="R142" s="81"/>
      <c r="W142" s="32">
        <f t="shared" si="55"/>
        <v>220</v>
      </c>
      <c r="GB142" s="58"/>
      <c r="GC142" s="58"/>
      <c r="GD142" s="58"/>
      <c r="GE142" s="58"/>
      <c r="GF142" s="58"/>
      <c r="GG142" s="58"/>
      <c r="GH142" s="58"/>
      <c r="GI142" s="58"/>
      <c r="GJ142" s="58"/>
      <c r="GK142" s="58"/>
      <c r="GL142" s="58"/>
      <c r="GM142" s="58"/>
      <c r="GN142" s="58"/>
      <c r="GO142" s="58"/>
      <c r="GP142" s="58"/>
      <c r="GQ142" s="58"/>
      <c r="GR142" s="58"/>
      <c r="GS142" s="58"/>
      <c r="GT142" s="58"/>
      <c r="GU142" s="58"/>
      <c r="GV142" s="58"/>
      <c r="GW142" s="58"/>
      <c r="GX142" s="58"/>
      <c r="GY142" s="58"/>
      <c r="GZ142" s="58"/>
      <c r="HA142" s="58"/>
      <c r="HB142" s="58"/>
      <c r="HC142" s="58"/>
      <c r="HD142" s="58"/>
      <c r="HE142" s="58"/>
      <c r="HF142" s="58"/>
      <c r="HG142" s="58"/>
      <c r="HH142" s="58"/>
    </row>
    <row r="143" ht="76.150000000000006" customHeight="1">
      <c r="A143" s="76"/>
      <c r="B143" s="73"/>
      <c r="C143" s="14"/>
      <c r="D143" s="14"/>
      <c r="E143" s="14"/>
      <c r="F143" s="11" t="s">
        <v>26</v>
      </c>
      <c r="G143" s="61" t="s">
        <v>71</v>
      </c>
      <c r="H143" s="62"/>
      <c r="I143" s="62"/>
      <c r="J143" s="62"/>
      <c r="K143" s="62"/>
      <c r="L143" s="62"/>
      <c r="M143" s="62"/>
      <c r="N143" s="62"/>
      <c r="O143" s="62"/>
      <c r="P143" s="63"/>
      <c r="Q143" s="52"/>
      <c r="R143" s="35"/>
      <c r="W143" s="32">
        <f t="shared" si="55"/>
        <v>0</v>
      </c>
    </row>
    <row r="144" ht="15.75" hidden="1">
      <c r="A144" s="76"/>
      <c r="B144" s="73"/>
      <c r="C144" s="14"/>
      <c r="D144" s="14"/>
      <c r="E144" s="14"/>
      <c r="F144" s="11" t="s">
        <v>27</v>
      </c>
      <c r="G144" s="65"/>
      <c r="H144" s="66"/>
      <c r="I144" s="66"/>
      <c r="J144" s="66"/>
      <c r="K144" s="66"/>
      <c r="L144" s="66"/>
      <c r="M144" s="66"/>
      <c r="N144" s="66"/>
      <c r="O144" s="66"/>
      <c r="P144" s="67"/>
      <c r="Q144" s="52"/>
      <c r="R144" s="35"/>
      <c r="W144" s="32">
        <f t="shared" si="55"/>
        <v>0</v>
      </c>
    </row>
    <row r="145" ht="15.75" hidden="1">
      <c r="A145" s="76"/>
      <c r="B145" s="73"/>
      <c r="C145" s="14"/>
      <c r="D145" s="14"/>
      <c r="E145" s="14"/>
      <c r="F145" s="11" t="s">
        <v>28</v>
      </c>
      <c r="G145" s="65"/>
      <c r="H145" s="66"/>
      <c r="I145" s="66"/>
      <c r="J145" s="66"/>
      <c r="K145" s="66"/>
      <c r="L145" s="66"/>
      <c r="M145" s="66"/>
      <c r="N145" s="66"/>
      <c r="O145" s="66"/>
      <c r="P145" s="67"/>
      <c r="Q145" s="52"/>
      <c r="R145" s="35"/>
      <c r="W145" s="32">
        <f t="shared" si="55"/>
        <v>0</v>
      </c>
    </row>
    <row r="146" ht="15.75" hidden="1">
      <c r="A146" s="76"/>
      <c r="B146" s="73"/>
      <c r="C146" s="14"/>
      <c r="D146" s="14"/>
      <c r="E146" s="14"/>
      <c r="F146" s="11" t="s">
        <v>29</v>
      </c>
      <c r="G146" s="65"/>
      <c r="H146" s="66"/>
      <c r="I146" s="66"/>
      <c r="J146" s="66"/>
      <c r="K146" s="66"/>
      <c r="L146" s="66"/>
      <c r="M146" s="66"/>
      <c r="N146" s="66"/>
      <c r="O146" s="66"/>
      <c r="P146" s="67"/>
      <c r="Q146" s="52"/>
      <c r="R146" s="35"/>
      <c r="W146" s="32">
        <f t="shared" si="55"/>
        <v>0</v>
      </c>
    </row>
    <row r="147" ht="15.75" hidden="1">
      <c r="A147" s="82"/>
      <c r="B147" s="74"/>
      <c r="C147" s="16"/>
      <c r="D147" s="16"/>
      <c r="E147" s="16"/>
      <c r="F147" s="11" t="s">
        <v>30</v>
      </c>
      <c r="G147" s="68"/>
      <c r="H147" s="69"/>
      <c r="I147" s="69"/>
      <c r="J147" s="69"/>
      <c r="K147" s="69"/>
      <c r="L147" s="69"/>
      <c r="M147" s="69"/>
      <c r="N147" s="69"/>
      <c r="O147" s="69"/>
      <c r="P147" s="70"/>
      <c r="Q147" s="75"/>
      <c r="R147" s="35"/>
      <c r="W147" s="32">
        <f t="shared" si="55"/>
        <v>0</v>
      </c>
    </row>
    <row r="148" ht="15.75">
      <c r="A148" s="76"/>
      <c r="B148" s="71" t="s">
        <v>72</v>
      </c>
      <c r="C148" s="12" t="s">
        <v>70</v>
      </c>
      <c r="D148" s="12" t="s">
        <v>56</v>
      </c>
      <c r="E148" s="12" t="s">
        <v>49</v>
      </c>
      <c r="F148" s="11" t="s">
        <v>22</v>
      </c>
      <c r="G148" s="23">
        <f>SUM(G149:G159)</f>
        <v>3833</v>
      </c>
      <c r="H148" s="23">
        <f t="shared" ref="H148:P148" si="68">SUM(H149:H159)</f>
        <v>0</v>
      </c>
      <c r="I148" s="23">
        <f t="shared" si="68"/>
        <v>3833</v>
      </c>
      <c r="J148" s="23">
        <f t="shared" si="68"/>
        <v>0</v>
      </c>
      <c r="K148" s="23">
        <f t="shared" si="68"/>
        <v>0</v>
      </c>
      <c r="L148" s="23">
        <f t="shared" si="68"/>
        <v>0</v>
      </c>
      <c r="M148" s="23">
        <f t="shared" si="68"/>
        <v>0</v>
      </c>
      <c r="N148" s="23">
        <f t="shared" si="68"/>
        <v>0</v>
      </c>
      <c r="O148" s="23">
        <f t="shared" si="68"/>
        <v>0</v>
      </c>
      <c r="P148" s="23">
        <f t="shared" si="68"/>
        <v>0</v>
      </c>
      <c r="Q148" s="52"/>
      <c r="R148" s="35"/>
      <c r="W148" s="32">
        <f t="shared" si="55"/>
        <v>3833</v>
      </c>
    </row>
    <row r="149" s="8" customFormat="1" ht="15.6" customHeight="1">
      <c r="A149" s="76"/>
      <c r="B149" s="73"/>
      <c r="C149" s="14"/>
      <c r="D149" s="14"/>
      <c r="E149" s="14"/>
      <c r="F149" s="11" t="s">
        <v>24</v>
      </c>
      <c r="G149" s="23">
        <f t="shared" ref="G149:G159" si="69">I149+K149+M149+O149</f>
        <v>0</v>
      </c>
      <c r="H149" s="23">
        <f t="shared" ref="H149:H159" si="70">J149+L149+N149+P149</f>
        <v>0</v>
      </c>
      <c r="I149" s="54">
        <v>0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2"/>
      <c r="R149" s="35"/>
      <c r="W149" s="32">
        <f t="shared" si="55"/>
        <v>0</v>
      </c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</row>
    <row r="150" ht="94.5" customHeight="1">
      <c r="A150" s="76"/>
      <c r="B150" s="73"/>
      <c r="C150" s="14"/>
      <c r="D150" s="14"/>
      <c r="E150" s="14"/>
      <c r="F150" s="11" t="s">
        <v>26</v>
      </c>
      <c r="G150" s="23">
        <f t="shared" si="69"/>
        <v>0</v>
      </c>
      <c r="H150" s="23">
        <f t="shared" si="70"/>
        <v>0</v>
      </c>
      <c r="I150" s="54">
        <v>0</v>
      </c>
      <c r="J150" s="54">
        <v>0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2"/>
      <c r="R150" s="35"/>
      <c r="W150" s="32">
        <f t="shared" si="55"/>
        <v>0</v>
      </c>
    </row>
    <row r="151" ht="15.75">
      <c r="A151" s="76"/>
      <c r="B151" s="73"/>
      <c r="C151" s="14"/>
      <c r="D151" s="14"/>
      <c r="E151" s="14"/>
      <c r="F151" s="11" t="s">
        <v>27</v>
      </c>
      <c r="G151" s="23">
        <f t="shared" si="69"/>
        <v>0</v>
      </c>
      <c r="H151" s="23">
        <f t="shared" si="70"/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52"/>
      <c r="R151" s="35"/>
      <c r="W151" s="32">
        <f t="shared" si="55"/>
        <v>0</v>
      </c>
    </row>
    <row r="152" ht="15.75">
      <c r="A152" s="76"/>
      <c r="B152" s="73"/>
      <c r="C152" s="14"/>
      <c r="D152" s="14"/>
      <c r="E152" s="14"/>
      <c r="F152" s="11" t="s">
        <v>28</v>
      </c>
      <c r="G152" s="23">
        <f t="shared" si="69"/>
        <v>0</v>
      </c>
      <c r="H152" s="23">
        <f t="shared" si="70"/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2"/>
      <c r="R152" s="35"/>
      <c r="W152" s="32">
        <f t="shared" si="55"/>
        <v>0</v>
      </c>
    </row>
    <row r="153" ht="15.75">
      <c r="A153" s="76"/>
      <c r="B153" s="73"/>
      <c r="C153" s="14"/>
      <c r="D153" s="14"/>
      <c r="E153" s="14"/>
      <c r="F153" s="11" t="s">
        <v>29</v>
      </c>
      <c r="G153" s="23">
        <f t="shared" si="69"/>
        <v>0</v>
      </c>
      <c r="H153" s="23">
        <f t="shared" si="70"/>
        <v>0</v>
      </c>
      <c r="I153" s="54">
        <v>0</v>
      </c>
      <c r="J153" s="54">
        <v>0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2"/>
      <c r="R153" s="35"/>
      <c r="W153" s="32">
        <f t="shared" si="55"/>
        <v>0</v>
      </c>
    </row>
    <row r="154" ht="15.75">
      <c r="A154" s="76"/>
      <c r="B154" s="73"/>
      <c r="C154" s="14"/>
      <c r="D154" s="14"/>
      <c r="E154" s="14"/>
      <c r="F154" s="11" t="s">
        <v>30</v>
      </c>
      <c r="G154" s="23">
        <f t="shared" si="69"/>
        <v>0</v>
      </c>
      <c r="H154" s="23">
        <f t="shared" si="70"/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2"/>
      <c r="R154" s="35"/>
      <c r="W154" s="32">
        <f t="shared" si="55"/>
        <v>0</v>
      </c>
    </row>
    <row r="155" ht="15.75">
      <c r="A155" s="76"/>
      <c r="B155" s="73"/>
      <c r="C155" s="14"/>
      <c r="D155" s="14"/>
      <c r="E155" s="14"/>
      <c r="F155" s="11" t="s">
        <v>31</v>
      </c>
      <c r="G155" s="23">
        <f t="shared" si="69"/>
        <v>900</v>
      </c>
      <c r="H155" s="23">
        <f t="shared" si="70"/>
        <v>0</v>
      </c>
      <c r="I155" s="54">
        <v>900</v>
      </c>
      <c r="J155" s="54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2"/>
      <c r="R155" s="35"/>
      <c r="W155" s="32">
        <f t="shared" si="55"/>
        <v>900</v>
      </c>
    </row>
    <row r="156" ht="15.75">
      <c r="A156" s="76"/>
      <c r="B156" s="73"/>
      <c r="C156" s="14"/>
      <c r="D156" s="14"/>
      <c r="E156" s="14"/>
      <c r="F156" s="11" t="s">
        <v>32</v>
      </c>
      <c r="G156" s="23">
        <f t="shared" si="69"/>
        <v>233</v>
      </c>
      <c r="H156" s="23">
        <f t="shared" si="70"/>
        <v>0</v>
      </c>
      <c r="I156" s="54">
        <v>233</v>
      </c>
      <c r="J156" s="54">
        <v>0</v>
      </c>
      <c r="K156" s="54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2"/>
      <c r="R156" s="35"/>
      <c r="W156" s="32">
        <f t="shared" si="55"/>
        <v>233</v>
      </c>
    </row>
    <row r="157" ht="15.75">
      <c r="A157" s="76"/>
      <c r="B157" s="73"/>
      <c r="C157" s="14"/>
      <c r="D157" s="14"/>
      <c r="E157" s="14"/>
      <c r="F157" s="11" t="s">
        <v>33</v>
      </c>
      <c r="G157" s="23">
        <f t="shared" si="69"/>
        <v>900</v>
      </c>
      <c r="H157" s="23">
        <f t="shared" si="70"/>
        <v>0</v>
      </c>
      <c r="I157" s="54">
        <v>900</v>
      </c>
      <c r="J157" s="54">
        <v>0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2"/>
      <c r="R157" s="35"/>
      <c r="W157" s="32">
        <f t="shared" si="55"/>
        <v>900</v>
      </c>
    </row>
    <row r="158" ht="15.75">
      <c r="A158" s="76"/>
      <c r="B158" s="73"/>
      <c r="C158" s="14"/>
      <c r="D158" s="14"/>
      <c r="E158" s="14"/>
      <c r="F158" s="11" t="s">
        <v>34</v>
      </c>
      <c r="G158" s="23">
        <f t="shared" si="69"/>
        <v>900</v>
      </c>
      <c r="H158" s="23">
        <f t="shared" si="70"/>
        <v>0</v>
      </c>
      <c r="I158" s="54">
        <v>900</v>
      </c>
      <c r="J158" s="54">
        <v>0</v>
      </c>
      <c r="K158" s="54">
        <v>0</v>
      </c>
      <c r="L158" s="54">
        <v>0</v>
      </c>
      <c r="M158" s="54">
        <v>0</v>
      </c>
      <c r="N158" s="54">
        <v>0</v>
      </c>
      <c r="O158" s="54">
        <v>0</v>
      </c>
      <c r="P158" s="54">
        <v>0</v>
      </c>
      <c r="Q158" s="52"/>
      <c r="R158" s="35"/>
      <c r="W158" s="32">
        <f t="shared" si="55"/>
        <v>900</v>
      </c>
    </row>
    <row r="159" ht="15.75">
      <c r="A159" s="76"/>
      <c r="B159" s="74"/>
      <c r="C159" s="16"/>
      <c r="D159" s="16"/>
      <c r="E159" s="16"/>
      <c r="F159" s="11" t="s">
        <v>35</v>
      </c>
      <c r="G159" s="23">
        <f t="shared" si="69"/>
        <v>900</v>
      </c>
      <c r="H159" s="23">
        <f t="shared" si="70"/>
        <v>0</v>
      </c>
      <c r="I159" s="54">
        <v>900</v>
      </c>
      <c r="J159" s="54">
        <v>0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52"/>
      <c r="R159" s="35"/>
      <c r="W159" s="32">
        <f t="shared" si="55"/>
        <v>900</v>
      </c>
    </row>
    <row r="160" ht="18" customHeight="1">
      <c r="A160" s="12"/>
      <c r="B160" s="50" t="s">
        <v>73</v>
      </c>
      <c r="C160" s="13"/>
      <c r="D160" s="13"/>
      <c r="E160" s="13"/>
      <c r="F160" s="13" t="s">
        <v>22</v>
      </c>
      <c r="G160" s="23">
        <f>SUM(G161:G171)</f>
        <v>2688981.54</v>
      </c>
      <c r="H160" s="23">
        <f t="shared" ref="H160:P160" si="71">SUM(H161:H171)</f>
        <v>2362302.5</v>
      </c>
      <c r="I160" s="23">
        <f t="shared" si="71"/>
        <v>1719744.4399999999</v>
      </c>
      <c r="J160" s="23">
        <f t="shared" si="71"/>
        <v>1582041.1000000001</v>
      </c>
      <c r="K160" s="23">
        <f t="shared" si="71"/>
        <v>7627.1000000000004</v>
      </c>
      <c r="L160" s="23">
        <f t="shared" si="71"/>
        <v>127.09999999999999</v>
      </c>
      <c r="M160" s="23">
        <f t="shared" si="71"/>
        <v>477868.29999999993</v>
      </c>
      <c r="N160" s="23">
        <f>SUM(N161:N171)</f>
        <v>296392.60000000003</v>
      </c>
      <c r="O160" s="23">
        <f>SUM(O161:O171)</f>
        <v>483741.70000000001</v>
      </c>
      <c r="P160" s="23">
        <f t="shared" si="71"/>
        <v>483741.70000000001</v>
      </c>
      <c r="Q160" s="51" t="s">
        <v>37</v>
      </c>
      <c r="R160" s="35"/>
      <c r="W160" s="32">
        <f t="shared" si="55"/>
        <v>137703.33999999985</v>
      </c>
    </row>
    <row r="161" s="26" customFormat="1" ht="32.25" customHeight="1">
      <c r="A161" s="14"/>
      <c r="B161" s="50" t="s">
        <v>74</v>
      </c>
      <c r="C161" s="13" t="s">
        <v>75</v>
      </c>
      <c r="D161" s="22"/>
      <c r="E161" s="22"/>
      <c r="F161" s="13" t="s">
        <v>24</v>
      </c>
      <c r="G161" s="23">
        <f>I161+K161+M161+O161</f>
        <v>180341.60000000001</v>
      </c>
      <c r="H161" s="23">
        <f t="shared" ref="G161:H165" si="72">J161+L161+N161+P161</f>
        <v>162018.30000000002</v>
      </c>
      <c r="I161" s="23">
        <f t="shared" ref="I161:J164" si="73">I173+I209+I185+I197+I216+I223+I230+I237</f>
        <v>116756.20000000001</v>
      </c>
      <c r="J161" s="23">
        <f t="shared" si="73"/>
        <v>104347.90000000001</v>
      </c>
      <c r="K161" s="23">
        <f t="shared" ref="K161:P165" si="74">K173+K209+K185+K197+K216+K223+K230+K237</f>
        <v>2500</v>
      </c>
      <c r="L161" s="23">
        <f t="shared" si="74"/>
        <v>0</v>
      </c>
      <c r="M161" s="23">
        <f t="shared" si="74"/>
        <v>27766.900000000001</v>
      </c>
      <c r="N161" s="23">
        <f t="shared" si="74"/>
        <v>24351.900000000001</v>
      </c>
      <c r="O161" s="23">
        <f t="shared" si="74"/>
        <v>33318.5</v>
      </c>
      <c r="P161" s="23">
        <f t="shared" si="74"/>
        <v>33318.5</v>
      </c>
      <c r="Q161" s="52"/>
      <c r="R161" s="35"/>
      <c r="W161" s="32">
        <f t="shared" si="55"/>
        <v>12408.300000000003</v>
      </c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</row>
    <row r="162" s="26" customFormat="1" ht="83.25" customHeight="1">
      <c r="A162" s="14"/>
      <c r="B162" s="50"/>
      <c r="C162" s="28" t="s">
        <v>76</v>
      </c>
      <c r="D162" s="28"/>
      <c r="E162" s="28"/>
      <c r="F162" s="13" t="s">
        <v>26</v>
      </c>
      <c r="G162" s="23">
        <f t="shared" si="72"/>
        <v>181324.73999999999</v>
      </c>
      <c r="H162" s="23">
        <f t="shared" si="72"/>
        <v>173599.79999999999</v>
      </c>
      <c r="I162" s="23">
        <f t="shared" si="73"/>
        <v>111578.54000000001</v>
      </c>
      <c r="J162" s="23">
        <f t="shared" si="73"/>
        <v>109904.60000000001</v>
      </c>
      <c r="K162" s="23">
        <f t="shared" si="74"/>
        <v>2500</v>
      </c>
      <c r="L162" s="23">
        <f t="shared" si="74"/>
        <v>0</v>
      </c>
      <c r="M162" s="23">
        <f t="shared" si="74"/>
        <v>28121.900000000001</v>
      </c>
      <c r="N162" s="23">
        <f t="shared" si="74"/>
        <v>24570.900000000001</v>
      </c>
      <c r="O162" s="23">
        <f t="shared" si="74"/>
        <v>39124.300000000003</v>
      </c>
      <c r="P162" s="23">
        <f t="shared" si="74"/>
        <v>39124.300000000003</v>
      </c>
      <c r="Q162" s="52"/>
      <c r="R162" s="35"/>
      <c r="S162" s="83" t="s">
        <v>74</v>
      </c>
      <c r="T162" s="84"/>
      <c r="W162" s="32">
        <f t="shared" si="55"/>
        <v>1673.9400000000023</v>
      </c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</row>
    <row r="163" s="26" customFormat="1" ht="18" customHeight="1">
      <c r="A163" s="14"/>
      <c r="B163" s="50"/>
      <c r="C163" s="28"/>
      <c r="D163" s="28"/>
      <c r="E163" s="28"/>
      <c r="F163" s="13" t="s">
        <v>27</v>
      </c>
      <c r="G163" s="23">
        <f t="shared" si="72"/>
        <v>197720.5</v>
      </c>
      <c r="H163" s="23">
        <f t="shared" si="72"/>
        <v>188559.5</v>
      </c>
      <c r="I163" s="23">
        <f t="shared" si="73"/>
        <v>113801.60000000001</v>
      </c>
      <c r="J163" s="23">
        <f t="shared" si="73"/>
        <v>110275.60000000001</v>
      </c>
      <c r="K163" s="23">
        <f t="shared" si="74"/>
        <v>2500</v>
      </c>
      <c r="L163" s="23">
        <f t="shared" si="74"/>
        <v>0</v>
      </c>
      <c r="M163" s="23">
        <f t="shared" si="74"/>
        <v>40223.799999999996</v>
      </c>
      <c r="N163" s="23">
        <f t="shared" si="74"/>
        <v>37088.799999999996</v>
      </c>
      <c r="O163" s="23">
        <f t="shared" si="74"/>
        <v>41195.099999999999</v>
      </c>
      <c r="P163" s="23">
        <f t="shared" si="74"/>
        <v>41195.099999999999</v>
      </c>
      <c r="Q163" s="52"/>
      <c r="R163" s="35"/>
      <c r="S163" s="85"/>
      <c r="T163" s="86"/>
      <c r="W163" s="32">
        <f t="shared" si="55"/>
        <v>3526</v>
      </c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</row>
    <row r="164" s="26" customFormat="1" ht="18" customHeight="1">
      <c r="A164" s="14"/>
      <c r="B164" s="50"/>
      <c r="C164" s="28"/>
      <c r="D164" s="28"/>
      <c r="E164" s="28"/>
      <c r="F164" s="13" t="s">
        <v>28</v>
      </c>
      <c r="G164" s="23">
        <f t="shared" si="72"/>
        <v>221087.60000000001</v>
      </c>
      <c r="H164" s="23">
        <f t="shared" si="72"/>
        <v>217736.5</v>
      </c>
      <c r="I164" s="23">
        <f t="shared" si="73"/>
        <v>127114.89999999999</v>
      </c>
      <c r="J164" s="23">
        <f t="shared" si="73"/>
        <v>123763.8</v>
      </c>
      <c r="K164" s="23">
        <f t="shared" si="74"/>
        <v>127.09999999999999</v>
      </c>
      <c r="L164" s="23">
        <f t="shared" si="74"/>
        <v>127.09999999999999</v>
      </c>
      <c r="M164" s="23">
        <f t="shared" si="74"/>
        <v>47521.100000000006</v>
      </c>
      <c r="N164" s="23">
        <f t="shared" si="74"/>
        <v>47521.100000000006</v>
      </c>
      <c r="O164" s="23">
        <f t="shared" si="74"/>
        <v>46324.5</v>
      </c>
      <c r="P164" s="23">
        <f t="shared" si="74"/>
        <v>46324.5</v>
      </c>
      <c r="Q164" s="52"/>
      <c r="R164" s="35"/>
      <c r="S164" s="87"/>
      <c r="T164" s="88"/>
      <c r="W164" s="32">
        <f t="shared" si="55"/>
        <v>3351.0999999999913</v>
      </c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</row>
    <row r="165" s="26" customFormat="1" ht="18" customHeight="1">
      <c r="A165" s="14"/>
      <c r="B165" s="50"/>
      <c r="C165" s="28"/>
      <c r="D165" s="28"/>
      <c r="E165" s="28"/>
      <c r="F165" s="13" t="s">
        <v>29</v>
      </c>
      <c r="G165" s="23">
        <f t="shared" si="72"/>
        <v>228198.60000000001</v>
      </c>
      <c r="H165" s="23">
        <f t="shared" si="72"/>
        <v>221491.20000000001</v>
      </c>
      <c r="I165" s="23">
        <f>I177+I189+I241</f>
        <v>132875.20000000001</v>
      </c>
      <c r="J165" s="23">
        <f>J177+J189+J241</f>
        <v>129803</v>
      </c>
      <c r="K165" s="23">
        <f t="shared" si="74"/>
        <v>0</v>
      </c>
      <c r="L165" s="23">
        <f t="shared" si="74"/>
        <v>0</v>
      </c>
      <c r="M165" s="23">
        <f t="shared" si="74"/>
        <v>47747.800000000003</v>
      </c>
      <c r="N165" s="23">
        <f t="shared" si="74"/>
        <v>44112.599999999999</v>
      </c>
      <c r="O165" s="23">
        <f t="shared" si="74"/>
        <v>47575.599999999999</v>
      </c>
      <c r="P165" s="23">
        <f t="shared" si="74"/>
        <v>47575.599999999999</v>
      </c>
      <c r="Q165" s="52"/>
      <c r="R165" s="60"/>
      <c r="S165" s="55">
        <f t="shared" ref="S165:S171" si="75">H165/G165*100</f>
        <v>97.060718163915112</v>
      </c>
      <c r="T165" s="13" t="s">
        <v>29</v>
      </c>
      <c r="W165" s="32">
        <f t="shared" si="55"/>
        <v>3072.2000000000116</v>
      </c>
      <c r="Y165" s="89"/>
      <c r="Z165" s="89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</row>
    <row r="166" s="26" customFormat="1" ht="18" customHeight="1">
      <c r="A166" s="14"/>
      <c r="B166" s="50"/>
      <c r="C166" s="28"/>
      <c r="D166" s="28"/>
      <c r="E166" s="28"/>
      <c r="F166" s="13" t="s">
        <v>30</v>
      </c>
      <c r="G166" s="23">
        <f t="shared" ref="G166:H171" si="76">I166+K166+M166+O166</f>
        <v>245882</v>
      </c>
      <c r="H166" s="23">
        <f t="shared" si="76"/>
        <v>221168.20000000001</v>
      </c>
      <c r="I166" s="23">
        <f t="shared" ref="I166:P166" si="77">I178+I214+I190+I202+I221+I228+I235+I242</f>
        <v>158241</v>
      </c>
      <c r="J166" s="23">
        <f t="shared" si="77"/>
        <v>151378</v>
      </c>
      <c r="K166" s="23">
        <f t="shared" si="77"/>
        <v>0</v>
      </c>
      <c r="L166" s="23">
        <f t="shared" si="77"/>
        <v>0</v>
      </c>
      <c r="M166" s="23">
        <f t="shared" si="77"/>
        <v>47747.800000000003</v>
      </c>
      <c r="N166" s="23">
        <f t="shared" si="77"/>
        <v>29897</v>
      </c>
      <c r="O166" s="23">
        <f t="shared" si="77"/>
        <v>39893.199999999997</v>
      </c>
      <c r="P166" s="23">
        <f t="shared" si="77"/>
        <v>39893.199999999997</v>
      </c>
      <c r="Q166" s="52"/>
      <c r="R166" s="35"/>
      <c r="S166" s="55">
        <f t="shared" si="75"/>
        <v>89.948918586964481</v>
      </c>
      <c r="T166" s="13" t="s">
        <v>30</v>
      </c>
      <c r="W166" s="32">
        <f t="shared" si="55"/>
        <v>6863</v>
      </c>
      <c r="Y166" s="89"/>
      <c r="Z166" s="89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</row>
    <row r="167" s="26" customFormat="1" ht="18" customHeight="1">
      <c r="A167" s="14"/>
      <c r="B167" s="50"/>
      <c r="C167" s="28"/>
      <c r="D167" s="28"/>
      <c r="E167" s="28"/>
      <c r="F167" s="13" t="s">
        <v>31</v>
      </c>
      <c r="G167" s="23">
        <f t="shared" si="76"/>
        <v>254386.29999999999</v>
      </c>
      <c r="H167" s="23">
        <f t="shared" si="76"/>
        <v>236225.5</v>
      </c>
      <c r="I167" s="23">
        <f t="shared" ref="I167:P171" si="78">I179+I191+I203+I243</f>
        <v>158241</v>
      </c>
      <c r="J167" s="23">
        <f t="shared" ref="J167:P167" si="79">J179+J191+J203+J243</f>
        <v>148675.70000000001</v>
      </c>
      <c r="K167" s="23">
        <f t="shared" si="79"/>
        <v>0</v>
      </c>
      <c r="L167" s="23">
        <f t="shared" si="79"/>
        <v>0</v>
      </c>
      <c r="M167" s="23">
        <f t="shared" si="79"/>
        <v>47747.800000000003</v>
      </c>
      <c r="N167" s="23">
        <f t="shared" si="79"/>
        <v>39152.300000000003</v>
      </c>
      <c r="O167" s="23">
        <f t="shared" si="79"/>
        <v>48397.5</v>
      </c>
      <c r="P167" s="23">
        <f t="shared" si="79"/>
        <v>48397.5</v>
      </c>
      <c r="Q167" s="52"/>
      <c r="R167" s="35"/>
      <c r="S167" s="55">
        <f t="shared" si="75"/>
        <v>92.860936300421855</v>
      </c>
      <c r="T167" s="13" t="s">
        <v>31</v>
      </c>
      <c r="W167" s="32">
        <f t="shared" si="55"/>
        <v>9565.2999999999884</v>
      </c>
      <c r="Y167" s="89"/>
      <c r="Z167" s="89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</row>
    <row r="168" s="26" customFormat="1" ht="18" customHeight="1">
      <c r="A168" s="14"/>
      <c r="B168" s="50"/>
      <c r="C168" s="28"/>
      <c r="D168" s="28"/>
      <c r="E168" s="28"/>
      <c r="F168" s="13" t="s">
        <v>32</v>
      </c>
      <c r="G168" s="23">
        <f t="shared" si="76"/>
        <v>284675.5</v>
      </c>
      <c r="H168" s="23">
        <f t="shared" si="76"/>
        <v>270895.40000000002</v>
      </c>
      <c r="I168" s="23">
        <f t="shared" si="78"/>
        <v>181672</v>
      </c>
      <c r="J168" s="23">
        <f t="shared" si="78"/>
        <v>176556.10000000001</v>
      </c>
      <c r="K168" s="23">
        <f t="shared" si="78"/>
        <v>0</v>
      </c>
      <c r="L168" s="23">
        <f t="shared" si="78"/>
        <v>0</v>
      </c>
      <c r="M168" s="23">
        <f t="shared" si="78"/>
        <v>47747.800000000003</v>
      </c>
      <c r="N168" s="23">
        <f t="shared" si="78"/>
        <v>39083.599999999999</v>
      </c>
      <c r="O168" s="23">
        <f t="shared" si="78"/>
        <v>55255.699999999997</v>
      </c>
      <c r="P168" s="23">
        <f t="shared" si="78"/>
        <v>55255.699999999997</v>
      </c>
      <c r="Q168" s="52"/>
      <c r="R168" s="35"/>
      <c r="S168" s="55">
        <f t="shared" si="75"/>
        <v>95.159365663711853</v>
      </c>
      <c r="T168" s="13" t="s">
        <v>32</v>
      </c>
      <c r="U168" s="26">
        <f>175479.10000000001+1076.9000000000001</f>
        <v>176556</v>
      </c>
      <c r="W168" s="32">
        <f t="shared" si="55"/>
        <v>5115.8999999999942</v>
      </c>
      <c r="Y168" s="89"/>
      <c r="Z168" s="89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</row>
    <row r="169" s="26" customFormat="1" ht="18" customHeight="1">
      <c r="A169" s="14"/>
      <c r="B169" s="50"/>
      <c r="C169" s="28"/>
      <c r="D169" s="28"/>
      <c r="E169" s="28"/>
      <c r="F169" s="13" t="s">
        <v>33</v>
      </c>
      <c r="G169" s="23">
        <f t="shared" si="76"/>
        <v>298827.50000000006</v>
      </c>
      <c r="H169" s="23">
        <f t="shared" si="76"/>
        <v>225478.70000000001</v>
      </c>
      <c r="I169" s="23">
        <f t="shared" si="78"/>
        <v>206488.00000000003</v>
      </c>
      <c r="J169" s="23">
        <f t="shared" si="78"/>
        <v>175579.80000000002</v>
      </c>
      <c r="K169" s="23">
        <f t="shared" si="78"/>
        <v>0</v>
      </c>
      <c r="L169" s="23">
        <f t="shared" si="78"/>
        <v>0</v>
      </c>
      <c r="M169" s="23">
        <f t="shared" si="78"/>
        <v>47747.800000000003</v>
      </c>
      <c r="N169" s="23">
        <f t="shared" si="78"/>
        <v>5307.1999999999998</v>
      </c>
      <c r="O169" s="23">
        <f t="shared" si="78"/>
        <v>44591.699999999997</v>
      </c>
      <c r="P169" s="23">
        <f t="shared" si="78"/>
        <v>44591.699999999997</v>
      </c>
      <c r="Q169" s="52"/>
      <c r="R169" s="35"/>
      <c r="S169" s="55">
        <f t="shared" si="75"/>
        <v>75.454467878625621</v>
      </c>
      <c r="T169" s="13" t="s">
        <v>33</v>
      </c>
      <c r="U169" s="32">
        <f>U168-J168</f>
        <v>-0.10000000000582077</v>
      </c>
      <c r="W169" s="32">
        <f t="shared" si="55"/>
        <v>30908.200000000012</v>
      </c>
      <c r="Y169" s="89"/>
      <c r="Z169" s="89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</row>
    <row r="170" s="26" customFormat="1" ht="18" customHeight="1">
      <c r="A170" s="14"/>
      <c r="B170" s="50"/>
      <c r="C170" s="28"/>
      <c r="D170" s="28"/>
      <c r="E170" s="28"/>
      <c r="F170" s="13" t="s">
        <v>34</v>
      </c>
      <c r="G170" s="23">
        <f t="shared" si="76"/>
        <v>298268.60000000003</v>
      </c>
      <c r="H170" s="23">
        <f t="shared" si="76"/>
        <v>225218.30000000005</v>
      </c>
      <c r="I170" s="23">
        <f t="shared" si="78"/>
        <v>206488.00000000003</v>
      </c>
      <c r="J170" s="23">
        <f t="shared" si="78"/>
        <v>175878.30000000002</v>
      </c>
      <c r="K170" s="23">
        <f t="shared" si="78"/>
        <v>0</v>
      </c>
      <c r="L170" s="23">
        <f t="shared" si="78"/>
        <v>0</v>
      </c>
      <c r="M170" s="23">
        <f t="shared" si="78"/>
        <v>47747.800000000003</v>
      </c>
      <c r="N170" s="23">
        <f t="shared" si="78"/>
        <v>5307.1999999999998</v>
      </c>
      <c r="O170" s="23">
        <f t="shared" si="78"/>
        <v>44032.800000000003</v>
      </c>
      <c r="P170" s="23">
        <f t="shared" si="78"/>
        <v>44032.800000000003</v>
      </c>
      <c r="Q170" s="52"/>
      <c r="R170" s="35"/>
      <c r="S170" s="55">
        <f t="shared" si="75"/>
        <v>75.508551687975213</v>
      </c>
      <c r="T170" s="13" t="s">
        <v>34</v>
      </c>
      <c r="W170" s="32">
        <f t="shared" si="55"/>
        <v>30609.700000000012</v>
      </c>
      <c r="Y170" s="89"/>
      <c r="Z170" s="89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</row>
    <row r="171" s="26" customFormat="1" ht="18" customHeight="1">
      <c r="A171" s="14"/>
      <c r="B171" s="50"/>
      <c r="C171" s="41"/>
      <c r="D171" s="41"/>
      <c r="E171" s="41"/>
      <c r="F171" s="13" t="s">
        <v>35</v>
      </c>
      <c r="G171" s="23">
        <f t="shared" si="76"/>
        <v>298268.60000000003</v>
      </c>
      <c r="H171" s="23">
        <f t="shared" si="76"/>
        <v>219911.10000000003</v>
      </c>
      <c r="I171" s="23">
        <f t="shared" si="78"/>
        <v>206488.00000000003</v>
      </c>
      <c r="J171" s="23">
        <f t="shared" si="78"/>
        <v>175878.30000000002</v>
      </c>
      <c r="K171" s="23">
        <f t="shared" si="78"/>
        <v>0</v>
      </c>
      <c r="L171" s="23">
        <f t="shared" si="78"/>
        <v>0</v>
      </c>
      <c r="M171" s="23">
        <f t="shared" si="78"/>
        <v>47747.800000000003</v>
      </c>
      <c r="N171" s="23">
        <f t="shared" si="78"/>
        <v>0</v>
      </c>
      <c r="O171" s="23">
        <f t="shared" si="78"/>
        <v>44032.800000000003</v>
      </c>
      <c r="P171" s="23">
        <f t="shared" si="78"/>
        <v>44032.800000000003</v>
      </c>
      <c r="Q171" s="52"/>
      <c r="R171" s="35"/>
      <c r="S171" s="55">
        <f t="shared" si="75"/>
        <v>73.729215881256025</v>
      </c>
      <c r="T171" s="13" t="s">
        <v>35</v>
      </c>
      <c r="W171" s="32">
        <f t="shared" si="55"/>
        <v>30609.700000000012</v>
      </c>
      <c r="Y171" s="89"/>
      <c r="Z171" s="89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</row>
    <row r="172" s="26" customFormat="1" ht="15" customHeight="1">
      <c r="A172" s="14"/>
      <c r="B172" s="57" t="s">
        <v>77</v>
      </c>
      <c r="C172" s="72"/>
      <c r="D172" s="72"/>
      <c r="E172" s="16"/>
      <c r="F172" s="11" t="s">
        <v>22</v>
      </c>
      <c r="G172" s="54">
        <f>SUM(G173:G183)</f>
        <v>2621659.6100000003</v>
      </c>
      <c r="H172" s="54">
        <f t="shared" ref="H172:P172" si="80">SUM(H173:H183)</f>
        <v>2338749.4700000007</v>
      </c>
      <c r="I172" s="54">
        <f t="shared" si="80"/>
        <v>1675446.9399999999</v>
      </c>
      <c r="J172" s="54">
        <f t="shared" si="80"/>
        <v>1564327.5</v>
      </c>
      <c r="K172" s="54">
        <f t="shared" si="80"/>
        <v>0</v>
      </c>
      <c r="L172" s="54">
        <f t="shared" si="80"/>
        <v>0</v>
      </c>
      <c r="M172" s="54">
        <f t="shared" si="80"/>
        <v>468125.49999999994</v>
      </c>
      <c r="N172" s="54">
        <f>SUM(N173:N183)</f>
        <v>296334.80000000005</v>
      </c>
      <c r="O172" s="54">
        <f>SUM(O173:O183)</f>
        <v>478087.16999999998</v>
      </c>
      <c r="P172" s="54">
        <f t="shared" si="80"/>
        <v>478087.16999999998</v>
      </c>
      <c r="Q172" s="52"/>
      <c r="R172" s="35"/>
      <c r="W172" s="32">
        <f t="shared" si="55"/>
        <v>111119.43999999994</v>
      </c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</row>
    <row r="173" s="8" customFormat="1">
      <c r="A173" s="14"/>
      <c r="B173" s="57"/>
      <c r="C173" s="11" t="s">
        <v>78</v>
      </c>
      <c r="D173" s="12" t="s">
        <v>48</v>
      </c>
      <c r="E173" s="12" t="s">
        <v>49</v>
      </c>
      <c r="F173" s="11" t="s">
        <v>24</v>
      </c>
      <c r="G173" s="54">
        <f t="shared" ref="G173:H183" si="81">I173+K173+M173+O173</f>
        <v>164731.80000000002</v>
      </c>
      <c r="H173" s="54">
        <f t="shared" si="81"/>
        <v>160327.90000000002</v>
      </c>
      <c r="I173" s="54">
        <f>7559.8000000000002-2100+J173-1400+344.10000000000002</f>
        <v>108642.20000000001</v>
      </c>
      <c r="J173" s="54">
        <v>104238.3</v>
      </c>
      <c r="K173" s="54">
        <v>0</v>
      </c>
      <c r="L173" s="54">
        <v>0</v>
      </c>
      <c r="M173" s="54">
        <f>N173</f>
        <v>24351.900000000001</v>
      </c>
      <c r="N173" s="54">
        <v>24351.900000000001</v>
      </c>
      <c r="O173" s="54">
        <v>31737.700000000001</v>
      </c>
      <c r="P173" s="54">
        <f t="shared" ref="P173:P178" si="82">O173</f>
        <v>31737.700000000001</v>
      </c>
      <c r="Q173" s="52"/>
      <c r="R173" s="81"/>
      <c r="W173" s="32">
        <f t="shared" si="55"/>
        <v>4403.9000000000087</v>
      </c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</row>
    <row r="174" ht="51">
      <c r="A174" s="14"/>
      <c r="B174" s="57"/>
      <c r="C174" s="11" t="s">
        <v>79</v>
      </c>
      <c r="D174" s="14"/>
      <c r="E174" s="14"/>
      <c r="F174" s="11" t="s">
        <v>26</v>
      </c>
      <c r="G174" s="54">
        <f t="shared" si="81"/>
        <v>173705.70999999999</v>
      </c>
      <c r="H174" s="54">
        <f>J174+L174+N174+P174</f>
        <v>171615.76999999999</v>
      </c>
      <c r="I174" s="54">
        <f>J174+487.94+1186</f>
        <v>110218.94</v>
      </c>
      <c r="J174" s="54">
        <f>109545.8-J186-J198-J217-J224-J238+30+700+50-1496.4000000000001-1390.5-66+2531.6999999999998</f>
        <v>108545</v>
      </c>
      <c r="K174" s="54">
        <v>0</v>
      </c>
      <c r="L174" s="54">
        <v>0</v>
      </c>
      <c r="M174" s="54">
        <f>N174+416</f>
        <v>24986.900000000001</v>
      </c>
      <c r="N174" s="54">
        <f>31823.200000000001-121-7131.3000000000002</f>
        <v>24570.900000000001</v>
      </c>
      <c r="O174" s="54">
        <f>39124.300000000003-O210-O186-O198-O217-O224</f>
        <v>38499.870000000003</v>
      </c>
      <c r="P174" s="54">
        <f t="shared" si="82"/>
        <v>38499.870000000003</v>
      </c>
      <c r="Q174" s="52"/>
      <c r="R174" s="35"/>
      <c r="W174" s="32">
        <f t="shared" si="55"/>
        <v>1673.9400000000023</v>
      </c>
    </row>
    <row r="175" ht="15.75">
      <c r="A175" s="14"/>
      <c r="B175" s="57"/>
      <c r="C175" s="12" t="s">
        <v>80</v>
      </c>
      <c r="D175" s="14"/>
      <c r="E175" s="14"/>
      <c r="F175" s="11" t="s">
        <v>27</v>
      </c>
      <c r="G175" s="54">
        <f t="shared" si="81"/>
        <v>190853</v>
      </c>
      <c r="H175" s="54">
        <f t="shared" si="81"/>
        <v>187426</v>
      </c>
      <c r="I175" s="54">
        <f>J175+3427</f>
        <v>113420.7</v>
      </c>
      <c r="J175" s="54">
        <f>110093.10000000001-J187-J199-J239+96.5+86</f>
        <v>109993.7</v>
      </c>
      <c r="K175" s="54">
        <v>0</v>
      </c>
      <c r="L175" s="54">
        <v>0</v>
      </c>
      <c r="M175" s="54">
        <f>N175</f>
        <v>37088.799999999996</v>
      </c>
      <c r="N175" s="54">
        <f>75318.699999999997-36741.800000000003-1488.0999999999999</f>
        <v>37088.799999999996</v>
      </c>
      <c r="O175" s="54">
        <f>41195.099999999999-O211-O187-O199-O218-O225</f>
        <v>40343.5</v>
      </c>
      <c r="P175" s="54">
        <f t="shared" si="82"/>
        <v>40343.5</v>
      </c>
      <c r="Q175" s="52"/>
      <c r="R175" s="35"/>
      <c r="W175" s="32">
        <f t="shared" si="55"/>
        <v>3427</v>
      </c>
    </row>
    <row r="176" ht="15.75">
      <c r="A176" s="14"/>
      <c r="B176" s="57"/>
      <c r="C176" s="14"/>
      <c r="D176" s="14"/>
      <c r="E176" s="14"/>
      <c r="F176" s="11" t="s">
        <v>28</v>
      </c>
      <c r="G176" s="54">
        <f t="shared" si="81"/>
        <v>212843</v>
      </c>
      <c r="H176" s="54">
        <f t="shared" ref="H176:H178" si="83">J176+L176+N176+P176</f>
        <v>210497.90000000002</v>
      </c>
      <c r="I176" s="54">
        <v>120178.89999999999</v>
      </c>
      <c r="J176" s="54">
        <v>117833.8</v>
      </c>
      <c r="K176" s="54">
        <v>0</v>
      </c>
      <c r="L176" s="54">
        <v>0</v>
      </c>
      <c r="M176" s="54">
        <v>47463.300000000003</v>
      </c>
      <c r="N176" s="54">
        <f>M176</f>
        <v>47463.300000000003</v>
      </c>
      <c r="O176" s="54">
        <v>45200.800000000003</v>
      </c>
      <c r="P176" s="54">
        <f t="shared" si="82"/>
        <v>45200.800000000003</v>
      </c>
      <c r="Q176" s="52"/>
      <c r="R176" s="35"/>
      <c r="W176" s="32">
        <f t="shared" si="55"/>
        <v>2345.0999999999913</v>
      </c>
    </row>
    <row r="177" ht="15.75">
      <c r="A177" s="14"/>
      <c r="B177" s="57"/>
      <c r="C177" s="14"/>
      <c r="D177" s="14"/>
      <c r="E177" s="14"/>
      <c r="F177" s="11" t="s">
        <v>29</v>
      </c>
      <c r="G177" s="54">
        <f t="shared" si="81"/>
        <v>219758.70000000001</v>
      </c>
      <c r="H177" s="54">
        <f t="shared" si="83"/>
        <v>213051.29999999999</v>
      </c>
      <c r="I177" s="54">
        <v>124814.2</v>
      </c>
      <c r="J177" s="54">
        <f>129747.5-J189-J241+55.5</f>
        <v>121742</v>
      </c>
      <c r="K177" s="54">
        <v>0</v>
      </c>
      <c r="L177" s="54">
        <v>0</v>
      </c>
      <c r="M177" s="54">
        <v>47747.800000000003</v>
      </c>
      <c r="N177" s="54">
        <v>44112.599999999999</v>
      </c>
      <c r="O177" s="54">
        <f>33911+8310+5.0999999999999996+5349.5-O189</f>
        <v>47196.699999999997</v>
      </c>
      <c r="P177" s="54">
        <f t="shared" si="82"/>
        <v>47196.699999999997</v>
      </c>
      <c r="Q177" s="52"/>
      <c r="R177" s="35"/>
      <c r="W177" s="32">
        <f t="shared" si="55"/>
        <v>3072.1999999999971</v>
      </c>
    </row>
    <row r="178" ht="15.75">
      <c r="A178" s="14"/>
      <c r="B178" s="57"/>
      <c r="C178" s="14"/>
      <c r="D178" s="14"/>
      <c r="E178" s="14"/>
      <c r="F178" s="11" t="s">
        <v>30</v>
      </c>
      <c r="G178" s="54">
        <f t="shared" si="81"/>
        <v>242502.09999999998</v>
      </c>
      <c r="H178" s="54">
        <f t="shared" si="83"/>
        <v>220823.29999999999</v>
      </c>
      <c r="I178" s="54">
        <v>155000</v>
      </c>
      <c r="J178" s="54">
        <v>151172</v>
      </c>
      <c r="K178" s="54">
        <v>0</v>
      </c>
      <c r="L178" s="54">
        <v>0</v>
      </c>
      <c r="M178" s="54">
        <v>47747.800000000003</v>
      </c>
      <c r="N178" s="54">
        <v>29897</v>
      </c>
      <c r="O178" s="54">
        <f>39893.199999999997-138.90000000000001</f>
        <v>39754.299999999996</v>
      </c>
      <c r="P178" s="54">
        <f t="shared" si="82"/>
        <v>39754.299999999996</v>
      </c>
      <c r="Q178" s="52"/>
      <c r="R178" s="60">
        <f>I178-J178</f>
        <v>3828</v>
      </c>
      <c r="W178" s="32">
        <f t="shared" si="55"/>
        <v>3828</v>
      </c>
      <c r="Y178" s="59"/>
    </row>
    <row r="179" ht="15.75">
      <c r="A179" s="14"/>
      <c r="B179" s="57"/>
      <c r="C179" s="14"/>
      <c r="D179" s="14"/>
      <c r="E179" s="14"/>
      <c r="F179" s="11" t="s">
        <v>31</v>
      </c>
      <c r="G179" s="54">
        <f t="shared" si="81"/>
        <v>250471.5</v>
      </c>
      <c r="H179" s="54">
        <f t="shared" si="81"/>
        <v>235198.60000000003</v>
      </c>
      <c r="I179" s="54">
        <v>155000</v>
      </c>
      <c r="J179" s="54">
        <v>148322.60000000001</v>
      </c>
      <c r="K179" s="54">
        <v>0</v>
      </c>
      <c r="L179" s="54">
        <v>0</v>
      </c>
      <c r="M179" s="54">
        <f t="shared" ref="M179:M183" si="84">M178</f>
        <v>47747.800000000003</v>
      </c>
      <c r="N179" s="54">
        <v>39152.300000000003</v>
      </c>
      <c r="O179" s="54">
        <f t="shared" ref="O179:O183" si="85">P179</f>
        <v>47723.699999999997</v>
      </c>
      <c r="P179" s="54">
        <f>48397.5-P243</f>
        <v>47723.699999999997</v>
      </c>
      <c r="Q179" s="52"/>
      <c r="R179" s="35"/>
      <c r="U179" s="59"/>
      <c r="W179" s="32">
        <f t="shared" si="55"/>
        <v>6677.3999999999942</v>
      </c>
    </row>
    <row r="180" ht="15.75">
      <c r="A180" s="14"/>
      <c r="B180" s="57"/>
      <c r="C180" s="14"/>
      <c r="D180" s="14"/>
      <c r="E180" s="14"/>
      <c r="F180" s="11" t="s">
        <v>32</v>
      </c>
      <c r="G180" s="54">
        <f t="shared" si="81"/>
        <v>281152.09999999998</v>
      </c>
      <c r="H180" s="54">
        <f t="shared" si="81"/>
        <v>270259.90000000002</v>
      </c>
      <c r="I180" s="54">
        <f>30300+141611+6520</f>
        <v>178431</v>
      </c>
      <c r="J180" s="54">
        <f>171920.10000000001+1077+3205.8000000000002+0.10000000000000001</f>
        <v>176203</v>
      </c>
      <c r="K180" s="54">
        <v>0</v>
      </c>
      <c r="L180" s="54">
        <v>0</v>
      </c>
      <c r="M180" s="54">
        <f t="shared" si="84"/>
        <v>47747.800000000003</v>
      </c>
      <c r="N180" s="54">
        <v>39083.599999999999</v>
      </c>
      <c r="O180" s="54">
        <f t="shared" si="85"/>
        <v>54973.299999999996</v>
      </c>
      <c r="P180" s="54">
        <f>55255.699999999997-P244</f>
        <v>54973.299999999996</v>
      </c>
      <c r="Q180" s="52"/>
      <c r="R180" s="35"/>
      <c r="W180" s="32">
        <f t="shared" si="55"/>
        <v>2228</v>
      </c>
      <c r="X180" s="59">
        <f>I180-J180</f>
        <v>2228</v>
      </c>
    </row>
    <row r="181" s="1" customFormat="1">
      <c r="A181" s="14"/>
      <c r="B181" s="57"/>
      <c r="C181" s="14"/>
      <c r="D181" s="14"/>
      <c r="E181" s="14"/>
      <c r="F181" s="11" t="s">
        <v>33</v>
      </c>
      <c r="G181" s="54">
        <f t="shared" si="81"/>
        <v>295586.50000000006</v>
      </c>
      <c r="H181" s="54">
        <f t="shared" si="81"/>
        <v>225125.60000000003</v>
      </c>
      <c r="I181" s="54">
        <f>175226.70000000001+38402.699999999997-7000-632.39999999999998-1500-600-650</f>
        <v>203247.00000000003</v>
      </c>
      <c r="J181" s="54">
        <v>175226.70000000001</v>
      </c>
      <c r="K181" s="54">
        <v>0</v>
      </c>
      <c r="L181" s="54">
        <v>0</v>
      </c>
      <c r="M181" s="54">
        <f t="shared" si="84"/>
        <v>47747.800000000003</v>
      </c>
      <c r="N181" s="54">
        <v>5307.1999999999998</v>
      </c>
      <c r="O181" s="54">
        <f t="shared" si="85"/>
        <v>44591.699999999997</v>
      </c>
      <c r="P181" s="54">
        <v>44591.699999999997</v>
      </c>
      <c r="Q181" s="52"/>
      <c r="R181" s="60">
        <f>I181-J181</f>
        <v>28020.300000000017</v>
      </c>
      <c r="S181" s="59">
        <f>I181-J181</f>
        <v>28020.300000000017</v>
      </c>
      <c r="W181" s="32">
        <f t="shared" si="55"/>
        <v>28020.300000000017</v>
      </c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</row>
    <row r="182" s="1" customFormat="1">
      <c r="A182" s="14"/>
      <c r="B182" s="57"/>
      <c r="C182" s="14"/>
      <c r="D182" s="14"/>
      <c r="E182" s="14"/>
      <c r="F182" s="11" t="s">
        <v>34</v>
      </c>
      <c r="G182" s="54">
        <f t="shared" si="81"/>
        <v>295027.60000000003</v>
      </c>
      <c r="H182" s="54">
        <f t="shared" si="81"/>
        <v>224865.20000000001</v>
      </c>
      <c r="I182" s="54">
        <f t="shared" ref="I182:I183" si="86">I181</f>
        <v>203247.00000000003</v>
      </c>
      <c r="J182" s="54">
        <f t="shared" ref="J182:J183" si="87">175226.70000000001+298.5</f>
        <v>175525.20000000001</v>
      </c>
      <c r="K182" s="54">
        <v>0</v>
      </c>
      <c r="L182" s="54">
        <v>0</v>
      </c>
      <c r="M182" s="54">
        <f t="shared" si="84"/>
        <v>47747.800000000003</v>
      </c>
      <c r="N182" s="54">
        <v>5307.1999999999998</v>
      </c>
      <c r="O182" s="54">
        <f t="shared" si="85"/>
        <v>44032.800000000003</v>
      </c>
      <c r="P182" s="54">
        <v>44032.800000000003</v>
      </c>
      <c r="Q182" s="52"/>
      <c r="R182" s="35"/>
      <c r="W182" s="32">
        <f t="shared" si="55"/>
        <v>27721.800000000017</v>
      </c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</row>
    <row r="183" s="1" customFormat="1">
      <c r="A183" s="14"/>
      <c r="B183" s="57"/>
      <c r="C183" s="16"/>
      <c r="D183" s="16"/>
      <c r="E183" s="16"/>
      <c r="F183" s="11" t="s">
        <v>35</v>
      </c>
      <c r="G183" s="54">
        <f t="shared" si="81"/>
        <v>295027.60000000003</v>
      </c>
      <c r="H183" s="54">
        <f t="shared" si="81"/>
        <v>219558</v>
      </c>
      <c r="I183" s="54">
        <f t="shared" si="86"/>
        <v>203247.00000000003</v>
      </c>
      <c r="J183" s="54">
        <f t="shared" si="87"/>
        <v>175525.20000000001</v>
      </c>
      <c r="K183" s="54">
        <v>0</v>
      </c>
      <c r="L183" s="54">
        <v>0</v>
      </c>
      <c r="M183" s="54">
        <f t="shared" si="84"/>
        <v>47747.800000000003</v>
      </c>
      <c r="N183" s="54">
        <v>0</v>
      </c>
      <c r="O183" s="54">
        <f t="shared" si="85"/>
        <v>44032.800000000003</v>
      </c>
      <c r="P183" s="54">
        <v>44032.800000000003</v>
      </c>
      <c r="Q183" s="52"/>
      <c r="R183" s="35"/>
      <c r="W183" s="32">
        <f t="shared" si="55"/>
        <v>27721.800000000017</v>
      </c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</row>
    <row r="184" s="26" customFormat="1" ht="15.75" customHeight="1">
      <c r="A184" s="14"/>
      <c r="B184" s="57" t="s">
        <v>81</v>
      </c>
      <c r="C184" s="5"/>
      <c r="D184" s="5"/>
      <c r="E184" s="16"/>
      <c r="F184" s="11" t="s">
        <v>22</v>
      </c>
      <c r="G184" s="54">
        <f>SUM(G185:G195)</f>
        <v>38637.130000000005</v>
      </c>
      <c r="H184" s="54">
        <f t="shared" ref="H184:P184" si="88">SUM(H185:H195)</f>
        <v>17215.129999999997</v>
      </c>
      <c r="I184" s="54">
        <f t="shared" si="88"/>
        <v>18781.599999999999</v>
      </c>
      <c r="J184" s="54">
        <f t="shared" si="88"/>
        <v>14164.6</v>
      </c>
      <c r="K184" s="54">
        <f t="shared" si="88"/>
        <v>7627.1000000000004</v>
      </c>
      <c r="L184" s="54">
        <f t="shared" si="88"/>
        <v>127.09999999999999</v>
      </c>
      <c r="M184" s="54">
        <f t="shared" si="88"/>
        <v>9362.7999999999993</v>
      </c>
      <c r="N184" s="54">
        <f t="shared" si="88"/>
        <v>57.799999999999997</v>
      </c>
      <c r="O184" s="54">
        <f t="shared" si="88"/>
        <v>2865.6300000000001</v>
      </c>
      <c r="P184" s="54">
        <f t="shared" si="88"/>
        <v>2865.6300000000001</v>
      </c>
      <c r="Q184" s="52"/>
      <c r="R184" s="35"/>
      <c r="W184" s="32">
        <f t="shared" si="55"/>
        <v>4616.9999999999982</v>
      </c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</row>
    <row r="185" s="8" customFormat="1" ht="40.5" customHeight="1">
      <c r="A185" s="14"/>
      <c r="B185" s="57"/>
      <c r="C185" s="11" t="s">
        <v>82</v>
      </c>
      <c r="D185" s="11"/>
      <c r="E185" s="90"/>
      <c r="F185" s="11" t="s">
        <v>24</v>
      </c>
      <c r="G185" s="54">
        <f t="shared" ref="G185:H189" si="89">I185+K185+M185+O185</f>
        <v>10633</v>
      </c>
      <c r="H185" s="54">
        <f t="shared" si="89"/>
        <v>580</v>
      </c>
      <c r="I185" s="54">
        <f>418+4100+J185</f>
        <v>4598</v>
      </c>
      <c r="J185" s="54">
        <v>80</v>
      </c>
      <c r="K185" s="54">
        <v>2500</v>
      </c>
      <c r="L185" s="54">
        <v>0</v>
      </c>
      <c r="M185" s="54">
        <v>3035</v>
      </c>
      <c r="N185" s="54">
        <v>0</v>
      </c>
      <c r="O185" s="54">
        <v>500</v>
      </c>
      <c r="P185" s="54">
        <f t="shared" ref="P185:P189" si="90">O185</f>
        <v>500</v>
      </c>
      <c r="Q185" s="52"/>
      <c r="R185" s="81"/>
      <c r="W185" s="32">
        <f t="shared" si="55"/>
        <v>4518</v>
      </c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</row>
    <row r="186" ht="38.25" customHeight="1">
      <c r="A186" s="14"/>
      <c r="B186" s="57"/>
      <c r="C186" s="12" t="s">
        <v>83</v>
      </c>
      <c r="D186" s="11"/>
      <c r="E186" s="90"/>
      <c r="F186" s="11" t="s">
        <v>26</v>
      </c>
      <c r="G186" s="54">
        <f t="shared" si="89"/>
        <v>6202.1300000000001</v>
      </c>
      <c r="H186" s="54">
        <f t="shared" si="89"/>
        <v>567.13</v>
      </c>
      <c r="I186" s="54">
        <f>J186</f>
        <v>100</v>
      </c>
      <c r="J186" s="54">
        <v>100</v>
      </c>
      <c r="K186" s="54">
        <v>2500</v>
      </c>
      <c r="L186" s="54">
        <v>0</v>
      </c>
      <c r="M186" s="54">
        <v>3135</v>
      </c>
      <c r="N186" s="54">
        <v>0</v>
      </c>
      <c r="O186" s="54">
        <v>467.13</v>
      </c>
      <c r="P186" s="54">
        <f t="shared" si="90"/>
        <v>467.13</v>
      </c>
      <c r="Q186" s="52"/>
      <c r="R186" s="35"/>
      <c r="W186" s="32">
        <f t="shared" si="55"/>
        <v>0</v>
      </c>
    </row>
    <row r="187" ht="15.6" customHeight="1">
      <c r="A187" s="14"/>
      <c r="B187" s="57"/>
      <c r="C187" s="14"/>
      <c r="D187" s="11"/>
      <c r="E187" s="90"/>
      <c r="F187" s="11" t="s">
        <v>27</v>
      </c>
      <c r="G187" s="54">
        <f t="shared" si="89"/>
        <v>6474</v>
      </c>
      <c r="H187" s="54">
        <f t="shared" si="89"/>
        <v>740</v>
      </c>
      <c r="I187" s="54">
        <f>J187+99</f>
        <v>198.59999999999999</v>
      </c>
      <c r="J187" s="54">
        <v>99.599999999999994</v>
      </c>
      <c r="K187" s="54">
        <v>2500</v>
      </c>
      <c r="L187" s="54">
        <v>0</v>
      </c>
      <c r="M187" s="54">
        <v>3135</v>
      </c>
      <c r="N187" s="54">
        <v>0</v>
      </c>
      <c r="O187" s="54">
        <v>640.39999999999998</v>
      </c>
      <c r="P187" s="54">
        <f t="shared" si="90"/>
        <v>640.39999999999998</v>
      </c>
      <c r="Q187" s="52"/>
      <c r="R187" s="35"/>
      <c r="W187" s="32">
        <f t="shared" si="55"/>
        <v>99</v>
      </c>
    </row>
    <row r="188" ht="15.75">
      <c r="A188" s="14"/>
      <c r="B188" s="57"/>
      <c r="C188" s="14"/>
      <c r="D188" s="11"/>
      <c r="E188" s="90"/>
      <c r="F188" s="11" t="s">
        <v>28</v>
      </c>
      <c r="G188" s="54">
        <f t="shared" si="89"/>
        <v>6994.1000000000004</v>
      </c>
      <c r="H188" s="54">
        <f t="shared" si="89"/>
        <v>6994.1000000000004</v>
      </c>
      <c r="I188" s="54">
        <v>5930</v>
      </c>
      <c r="J188" s="54">
        <f>I188</f>
        <v>5930</v>
      </c>
      <c r="K188" s="54">
        <v>127.09999999999999</v>
      </c>
      <c r="L188" s="54">
        <v>127.09999999999999</v>
      </c>
      <c r="M188" s="54">
        <v>57.799999999999997</v>
      </c>
      <c r="N188" s="54">
        <v>57.799999999999997</v>
      </c>
      <c r="O188" s="54">
        <v>879.20000000000005</v>
      </c>
      <c r="P188" s="54">
        <f t="shared" si="90"/>
        <v>879.20000000000005</v>
      </c>
      <c r="Q188" s="52"/>
      <c r="R188" s="35"/>
      <c r="W188" s="32">
        <f t="shared" si="55"/>
        <v>0</v>
      </c>
    </row>
    <row r="189" ht="15.75">
      <c r="A189" s="14"/>
      <c r="B189" s="57"/>
      <c r="C189" s="14"/>
      <c r="D189" s="11"/>
      <c r="E189" s="90"/>
      <c r="F189" s="11" t="s">
        <v>29</v>
      </c>
      <c r="G189" s="54">
        <f t="shared" si="89"/>
        <v>8333.8999999999996</v>
      </c>
      <c r="H189" s="54">
        <f t="shared" si="89"/>
        <v>8333.8999999999996</v>
      </c>
      <c r="I189" s="54">
        <v>7955</v>
      </c>
      <c r="J189" s="54">
        <v>7955</v>
      </c>
      <c r="K189" s="54">
        <v>0</v>
      </c>
      <c r="L189" s="54">
        <v>0</v>
      </c>
      <c r="M189" s="54">
        <v>0</v>
      </c>
      <c r="N189" s="54">
        <v>0</v>
      </c>
      <c r="O189" s="54">
        <v>378.89999999999998</v>
      </c>
      <c r="P189" s="54">
        <f t="shared" si="90"/>
        <v>378.89999999999998</v>
      </c>
      <c r="Q189" s="52"/>
      <c r="R189" s="35"/>
      <c r="W189" s="32">
        <f t="shared" si="55"/>
        <v>0</v>
      </c>
    </row>
    <row r="190" ht="15.75">
      <c r="A190" s="14"/>
      <c r="B190" s="57"/>
      <c r="C190" s="14"/>
      <c r="D190" s="11"/>
      <c r="E190" s="90"/>
      <c r="F190" s="11" t="s">
        <v>30</v>
      </c>
      <c r="G190" s="91" t="s">
        <v>84</v>
      </c>
      <c r="H190" s="92"/>
      <c r="I190" s="92"/>
      <c r="J190" s="92"/>
      <c r="K190" s="92"/>
      <c r="L190" s="92"/>
      <c r="M190" s="92"/>
      <c r="N190" s="92"/>
      <c r="O190" s="92"/>
      <c r="P190" s="93"/>
      <c r="Q190" s="52"/>
      <c r="R190" s="35"/>
      <c r="W190" s="32">
        <f t="shared" ref="W190:W253" si="91">I190-J190</f>
        <v>0</v>
      </c>
    </row>
    <row r="191" ht="15.75" hidden="1">
      <c r="A191" s="14"/>
      <c r="B191" s="57"/>
      <c r="C191" s="14"/>
      <c r="D191" s="14"/>
      <c r="E191" s="14"/>
      <c r="F191" s="11" t="s">
        <v>31</v>
      </c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2"/>
      <c r="R191" s="35"/>
      <c r="W191" s="32">
        <f t="shared" si="91"/>
        <v>0</v>
      </c>
    </row>
    <row r="192" ht="15.75" hidden="1">
      <c r="A192" s="14"/>
      <c r="B192" s="57"/>
      <c r="C192" s="14"/>
      <c r="D192" s="14"/>
      <c r="E192" s="14"/>
      <c r="F192" s="11" t="s">
        <v>32</v>
      </c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2"/>
      <c r="R192" s="35"/>
      <c r="W192" s="32">
        <f t="shared" si="91"/>
        <v>0</v>
      </c>
    </row>
    <row r="193" ht="15.75" hidden="1">
      <c r="A193" s="14"/>
      <c r="B193" s="57"/>
      <c r="C193" s="14"/>
      <c r="D193" s="14"/>
      <c r="E193" s="14"/>
      <c r="F193" s="11" t="s">
        <v>33</v>
      </c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2"/>
      <c r="R193" s="35"/>
      <c r="W193" s="32">
        <f t="shared" si="91"/>
        <v>0</v>
      </c>
    </row>
    <row r="194" ht="15.75" hidden="1">
      <c r="A194" s="14"/>
      <c r="B194" s="57"/>
      <c r="C194" s="14"/>
      <c r="D194" s="14"/>
      <c r="E194" s="14"/>
      <c r="F194" s="11" t="s">
        <v>34</v>
      </c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2"/>
      <c r="R194" s="35"/>
      <c r="W194" s="32">
        <f t="shared" si="91"/>
        <v>0</v>
      </c>
    </row>
    <row r="195" ht="15.75" hidden="1">
      <c r="A195" s="14"/>
      <c r="B195" s="57"/>
      <c r="C195" s="16"/>
      <c r="D195" s="16"/>
      <c r="E195" s="14"/>
      <c r="F195" s="11" t="s">
        <v>35</v>
      </c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2"/>
      <c r="R195" s="35"/>
      <c r="W195" s="32">
        <f t="shared" si="91"/>
        <v>0</v>
      </c>
    </row>
    <row r="196" ht="15.75" customHeight="1">
      <c r="A196" s="14"/>
      <c r="B196" s="57" t="s">
        <v>85</v>
      </c>
      <c r="C196" s="19"/>
      <c r="D196" s="94"/>
      <c r="E196" s="11"/>
      <c r="F196" s="11" t="s">
        <v>22</v>
      </c>
      <c r="G196" s="54">
        <f>SUM(G197:G207)</f>
        <v>2308.9000000000001</v>
      </c>
      <c r="H196" s="54">
        <f t="shared" ref="H196:P196" si="92">SUM(H197:H207)</f>
        <v>968.89999999999998</v>
      </c>
      <c r="I196" s="54">
        <f t="shared" si="92"/>
        <v>1515.9000000000001</v>
      </c>
      <c r="J196" s="54">
        <f t="shared" si="92"/>
        <v>175.89999999999998</v>
      </c>
      <c r="K196" s="54">
        <f t="shared" si="92"/>
        <v>0</v>
      </c>
      <c r="L196" s="54">
        <f t="shared" si="92"/>
        <v>0</v>
      </c>
      <c r="M196" s="54">
        <f t="shared" si="92"/>
        <v>0</v>
      </c>
      <c r="N196" s="54">
        <f t="shared" si="92"/>
        <v>0</v>
      </c>
      <c r="O196" s="54">
        <f t="shared" si="92"/>
        <v>793</v>
      </c>
      <c r="P196" s="54">
        <f t="shared" si="92"/>
        <v>793</v>
      </c>
      <c r="Q196" s="52"/>
      <c r="R196" s="35"/>
      <c r="W196" s="32">
        <f t="shared" si="91"/>
        <v>1340</v>
      </c>
    </row>
    <row r="197" s="8" customFormat="1" ht="43.5" customHeight="1">
      <c r="A197" s="14"/>
      <c r="B197" s="57"/>
      <c r="C197" s="11" t="s">
        <v>82</v>
      </c>
      <c r="D197" s="95"/>
      <c r="E197" s="11"/>
      <c r="F197" s="11" t="s">
        <v>24</v>
      </c>
      <c r="G197" s="54">
        <f t="shared" ref="G197:H200" si="93">I197+K197+M197+O197</f>
        <v>620</v>
      </c>
      <c r="H197" s="54">
        <f t="shared" si="93"/>
        <v>180</v>
      </c>
      <c r="I197" s="54">
        <f>440+J197</f>
        <v>440</v>
      </c>
      <c r="J197" s="54">
        <v>0</v>
      </c>
      <c r="K197" s="54">
        <v>0</v>
      </c>
      <c r="L197" s="54">
        <v>0</v>
      </c>
      <c r="M197" s="54">
        <v>0</v>
      </c>
      <c r="N197" s="54">
        <v>0</v>
      </c>
      <c r="O197" s="54">
        <v>180</v>
      </c>
      <c r="P197" s="54">
        <f t="shared" ref="P197:P198" si="94">O197</f>
        <v>180</v>
      </c>
      <c r="Q197" s="52"/>
      <c r="R197" s="81"/>
      <c r="W197" s="32">
        <f t="shared" si="91"/>
        <v>440</v>
      </c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</row>
    <row r="198" ht="15.6" customHeight="1">
      <c r="A198" s="14"/>
      <c r="B198" s="57"/>
      <c r="C198" s="12" t="s">
        <v>86</v>
      </c>
      <c r="D198" s="95"/>
      <c r="E198" s="11"/>
      <c r="F198" s="11" t="s">
        <v>26</v>
      </c>
      <c r="G198" s="54">
        <f t="shared" si="93"/>
        <v>256.89999999999998</v>
      </c>
      <c r="H198" s="54">
        <f t="shared" si="93"/>
        <v>256.89999999999998</v>
      </c>
      <c r="I198" s="54">
        <f t="shared" ref="I198:I199" si="95">J198</f>
        <v>99.599999999999994</v>
      </c>
      <c r="J198" s="54">
        <v>99.599999999999994</v>
      </c>
      <c r="K198" s="54">
        <v>0</v>
      </c>
      <c r="L198" s="54">
        <v>0</v>
      </c>
      <c r="M198" s="54">
        <v>0</v>
      </c>
      <c r="N198" s="54">
        <v>0</v>
      </c>
      <c r="O198" s="54">
        <v>157.30000000000001</v>
      </c>
      <c r="P198" s="54">
        <f t="shared" si="94"/>
        <v>157.30000000000001</v>
      </c>
      <c r="Q198" s="52"/>
      <c r="R198" s="35"/>
      <c r="W198" s="32">
        <f t="shared" si="91"/>
        <v>0</v>
      </c>
    </row>
    <row r="199" ht="15.6" customHeight="1">
      <c r="A199" s="14"/>
      <c r="B199" s="57"/>
      <c r="C199" s="14"/>
      <c r="D199" s="95"/>
      <c r="E199" s="11"/>
      <c r="F199" s="11" t="s">
        <v>27</v>
      </c>
      <c r="G199" s="54">
        <f t="shared" si="93"/>
        <v>287.5</v>
      </c>
      <c r="H199" s="54">
        <f t="shared" si="93"/>
        <v>287.5</v>
      </c>
      <c r="I199" s="54">
        <f t="shared" si="95"/>
        <v>76.299999999999997</v>
      </c>
      <c r="J199" s="54">
        <v>76.299999999999997</v>
      </c>
      <c r="K199" s="54">
        <v>0</v>
      </c>
      <c r="L199" s="54">
        <v>0</v>
      </c>
      <c r="M199" s="54">
        <v>0</v>
      </c>
      <c r="N199" s="54">
        <v>0</v>
      </c>
      <c r="O199" s="54">
        <f>P199</f>
        <v>211.19999999999999</v>
      </c>
      <c r="P199" s="54">
        <v>211.19999999999999</v>
      </c>
      <c r="Q199" s="52"/>
      <c r="R199" s="35"/>
      <c r="W199" s="32">
        <f t="shared" si="91"/>
        <v>0</v>
      </c>
    </row>
    <row r="200" ht="15.75">
      <c r="A200" s="14"/>
      <c r="B200" s="57"/>
      <c r="C200" s="14"/>
      <c r="D200" s="95"/>
      <c r="E200" s="11"/>
      <c r="F200" s="11" t="s">
        <v>28</v>
      </c>
      <c r="G200" s="54">
        <f t="shared" si="93"/>
        <v>1144.5</v>
      </c>
      <c r="H200" s="54">
        <f t="shared" si="93"/>
        <v>244.5</v>
      </c>
      <c r="I200" s="54">
        <v>900</v>
      </c>
      <c r="J200" s="54">
        <v>0</v>
      </c>
      <c r="K200" s="54">
        <v>0</v>
      </c>
      <c r="L200" s="54">
        <v>0</v>
      </c>
      <c r="M200" s="54">
        <v>0</v>
      </c>
      <c r="N200" s="54">
        <v>0</v>
      </c>
      <c r="O200" s="54">
        <v>244.5</v>
      </c>
      <c r="P200" s="54">
        <v>244.5</v>
      </c>
      <c r="Q200" s="52"/>
      <c r="R200" s="35"/>
      <c r="W200" s="32">
        <f t="shared" si="91"/>
        <v>900</v>
      </c>
    </row>
    <row r="201" ht="15.6" customHeight="1">
      <c r="A201" s="14"/>
      <c r="B201" s="57"/>
      <c r="C201" s="64"/>
      <c r="D201" s="95"/>
      <c r="E201" s="11"/>
      <c r="F201" s="11" t="s">
        <v>29</v>
      </c>
      <c r="G201" s="61" t="s">
        <v>87</v>
      </c>
      <c r="H201" s="62"/>
      <c r="I201" s="62"/>
      <c r="J201" s="62"/>
      <c r="K201" s="62"/>
      <c r="L201" s="62"/>
      <c r="M201" s="62"/>
      <c r="N201" s="62"/>
      <c r="O201" s="62"/>
      <c r="P201" s="63"/>
      <c r="Q201" s="52"/>
      <c r="R201" s="35"/>
      <c r="W201" s="32">
        <f t="shared" si="91"/>
        <v>0</v>
      </c>
    </row>
    <row r="202" ht="15.75" hidden="1">
      <c r="A202" s="14"/>
      <c r="B202" s="57"/>
      <c r="C202" s="64"/>
      <c r="D202" s="64"/>
      <c r="E202" s="64"/>
      <c r="F202" s="11" t="s">
        <v>30</v>
      </c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2"/>
      <c r="R202" s="35"/>
      <c r="W202" s="32">
        <f t="shared" si="91"/>
        <v>0</v>
      </c>
    </row>
    <row r="203" ht="15.75" hidden="1">
      <c r="A203" s="14"/>
      <c r="B203" s="57"/>
      <c r="C203" s="64"/>
      <c r="D203" s="64"/>
      <c r="E203" s="64"/>
      <c r="F203" s="11" t="s">
        <v>31</v>
      </c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2"/>
      <c r="R203" s="35"/>
      <c r="W203" s="32">
        <f t="shared" si="91"/>
        <v>0</v>
      </c>
    </row>
    <row r="204" ht="15.75" hidden="1">
      <c r="A204" s="14"/>
      <c r="B204" s="57"/>
      <c r="C204" s="64"/>
      <c r="D204" s="64"/>
      <c r="E204" s="64"/>
      <c r="F204" s="11" t="s">
        <v>32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2"/>
      <c r="R204" s="35"/>
      <c r="W204" s="32">
        <f t="shared" si="91"/>
        <v>0</v>
      </c>
    </row>
    <row r="205" ht="15.75" hidden="1">
      <c r="A205" s="14"/>
      <c r="B205" s="57"/>
      <c r="C205" s="64"/>
      <c r="D205" s="64"/>
      <c r="E205" s="64"/>
      <c r="F205" s="11" t="s">
        <v>33</v>
      </c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2"/>
      <c r="R205" s="35"/>
      <c r="W205" s="32">
        <f t="shared" si="91"/>
        <v>0</v>
      </c>
    </row>
    <row r="206" ht="15.75" hidden="1">
      <c r="A206" s="14"/>
      <c r="B206" s="57"/>
      <c r="C206" s="64"/>
      <c r="D206" s="64"/>
      <c r="E206" s="64"/>
      <c r="F206" s="11" t="s">
        <v>34</v>
      </c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2"/>
      <c r="R206" s="35"/>
      <c r="W206" s="32">
        <f t="shared" si="91"/>
        <v>0</v>
      </c>
    </row>
    <row r="207" ht="15.75" hidden="1">
      <c r="A207" s="14"/>
      <c r="B207" s="57"/>
      <c r="C207" s="96"/>
      <c r="D207" s="96"/>
      <c r="E207" s="64"/>
      <c r="F207" s="11" t="s">
        <v>35</v>
      </c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2"/>
      <c r="R207" s="35"/>
      <c r="W207" s="32">
        <f t="shared" si="91"/>
        <v>0</v>
      </c>
    </row>
    <row r="208" s="26" customFormat="1">
      <c r="A208" s="14"/>
      <c r="B208" s="57" t="s">
        <v>88</v>
      </c>
      <c r="C208" s="12" t="s">
        <v>70</v>
      </c>
      <c r="D208" s="12"/>
      <c r="E208" s="14"/>
      <c r="F208" s="11" t="s">
        <v>22</v>
      </c>
      <c r="G208" s="54">
        <f t="shared" ref="G208:P208" si="96">SUM(G209:G214)</f>
        <v>2350</v>
      </c>
      <c r="H208" s="54">
        <f t="shared" si="96"/>
        <v>100</v>
      </c>
      <c r="I208" s="54">
        <f t="shared" si="96"/>
        <v>2250</v>
      </c>
      <c r="J208" s="54">
        <f t="shared" si="96"/>
        <v>0</v>
      </c>
      <c r="K208" s="54">
        <f t="shared" si="96"/>
        <v>0</v>
      </c>
      <c r="L208" s="54">
        <f t="shared" si="96"/>
        <v>0</v>
      </c>
      <c r="M208" s="54">
        <f t="shared" si="96"/>
        <v>0</v>
      </c>
      <c r="N208" s="54">
        <f t="shared" si="96"/>
        <v>0</v>
      </c>
      <c r="O208" s="54">
        <f t="shared" si="96"/>
        <v>100</v>
      </c>
      <c r="P208" s="54">
        <f t="shared" si="96"/>
        <v>100</v>
      </c>
      <c r="Q208" s="52"/>
      <c r="R208" s="35"/>
      <c r="W208" s="32">
        <f t="shared" si="91"/>
        <v>2250</v>
      </c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  <c r="GP208" s="26"/>
      <c r="GQ208" s="26"/>
      <c r="GR208" s="26"/>
      <c r="GS208" s="26"/>
      <c r="GT208" s="26"/>
      <c r="GU208" s="26"/>
      <c r="GV208" s="26"/>
      <c r="GW208" s="26"/>
      <c r="GX208" s="26"/>
      <c r="GY208" s="26"/>
      <c r="GZ208" s="26"/>
      <c r="HA208" s="26"/>
      <c r="HB208" s="26"/>
      <c r="HC208" s="26"/>
      <c r="HD208" s="26"/>
      <c r="HE208" s="26"/>
      <c r="HF208" s="26"/>
      <c r="HG208" s="26"/>
      <c r="HH208" s="26"/>
    </row>
    <row r="209" s="8" customFormat="1" ht="55.149999999999999" customHeight="1">
      <c r="A209" s="14"/>
      <c r="B209" s="57"/>
      <c r="C209" s="14"/>
      <c r="D209" s="14"/>
      <c r="E209" s="14"/>
      <c r="F209" s="11" t="s">
        <v>24</v>
      </c>
      <c r="G209" s="54">
        <f>I209+K209+M209+O209</f>
        <v>2350</v>
      </c>
      <c r="H209" s="54">
        <f>J209+L209+N209+P209</f>
        <v>100</v>
      </c>
      <c r="I209" s="54">
        <v>2250</v>
      </c>
      <c r="J209" s="54">
        <v>0</v>
      </c>
      <c r="K209" s="54">
        <v>0</v>
      </c>
      <c r="L209" s="54">
        <v>0</v>
      </c>
      <c r="M209" s="54">
        <v>0</v>
      </c>
      <c r="N209" s="54">
        <v>0</v>
      </c>
      <c r="O209" s="54">
        <v>100</v>
      </c>
      <c r="P209" s="54">
        <f>O209</f>
        <v>100</v>
      </c>
      <c r="Q209" s="52"/>
      <c r="R209" s="81"/>
      <c r="W209" s="32">
        <f t="shared" si="91"/>
        <v>2250</v>
      </c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</row>
    <row r="210" ht="36" customHeight="1">
      <c r="A210" s="14"/>
      <c r="B210" s="57"/>
      <c r="C210" s="16"/>
      <c r="D210" s="16"/>
      <c r="E210" s="14"/>
      <c r="F210" s="11" t="s">
        <v>26</v>
      </c>
      <c r="G210" s="61" t="s">
        <v>89</v>
      </c>
      <c r="H210" s="62"/>
      <c r="I210" s="62"/>
      <c r="J210" s="62"/>
      <c r="K210" s="62"/>
      <c r="L210" s="62"/>
      <c r="M210" s="62"/>
      <c r="N210" s="62"/>
      <c r="O210" s="62"/>
      <c r="P210" s="63"/>
      <c r="Q210" s="52"/>
      <c r="R210" s="35"/>
      <c r="W210" s="32">
        <f t="shared" si="91"/>
        <v>0</v>
      </c>
    </row>
    <row r="211" ht="15.75" hidden="1">
      <c r="A211" s="14"/>
      <c r="B211" s="57"/>
      <c r="C211" s="11"/>
      <c r="D211" s="11"/>
      <c r="E211" s="16"/>
      <c r="F211" s="11" t="s">
        <v>27</v>
      </c>
      <c r="G211" s="65"/>
      <c r="H211" s="66"/>
      <c r="I211" s="66"/>
      <c r="J211" s="66"/>
      <c r="K211" s="66"/>
      <c r="L211" s="66"/>
      <c r="M211" s="66"/>
      <c r="N211" s="66"/>
      <c r="O211" s="66"/>
      <c r="P211" s="67"/>
      <c r="Q211" s="52"/>
      <c r="R211" s="35"/>
      <c r="W211" s="32">
        <f t="shared" si="91"/>
        <v>0</v>
      </c>
    </row>
    <row r="212" ht="15.75" hidden="1">
      <c r="A212" s="14"/>
      <c r="B212" s="57"/>
      <c r="C212" s="11"/>
      <c r="D212" s="11"/>
      <c r="E212" s="11"/>
      <c r="F212" s="11" t="s">
        <v>28</v>
      </c>
      <c r="G212" s="65"/>
      <c r="H212" s="66"/>
      <c r="I212" s="66"/>
      <c r="J212" s="66"/>
      <c r="K212" s="66"/>
      <c r="L212" s="66"/>
      <c r="M212" s="66"/>
      <c r="N212" s="66"/>
      <c r="O212" s="66"/>
      <c r="P212" s="67"/>
      <c r="Q212" s="52"/>
      <c r="R212" s="35"/>
      <c r="W212" s="32">
        <f t="shared" si="91"/>
        <v>0</v>
      </c>
    </row>
    <row r="213" ht="15.75" hidden="1">
      <c r="A213" s="14"/>
      <c r="B213" s="57"/>
      <c r="C213" s="11"/>
      <c r="D213" s="11"/>
      <c r="E213" s="11"/>
      <c r="F213" s="11" t="s">
        <v>29</v>
      </c>
      <c r="G213" s="65"/>
      <c r="H213" s="66"/>
      <c r="I213" s="66"/>
      <c r="J213" s="66"/>
      <c r="K213" s="66"/>
      <c r="L213" s="66"/>
      <c r="M213" s="66"/>
      <c r="N213" s="66"/>
      <c r="O213" s="66"/>
      <c r="P213" s="67"/>
      <c r="Q213" s="52"/>
      <c r="R213" s="35"/>
      <c r="W213" s="32">
        <f t="shared" si="91"/>
        <v>0</v>
      </c>
    </row>
    <row r="214" ht="15.75" hidden="1">
      <c r="A214" s="14"/>
      <c r="B214" s="57"/>
      <c r="C214" s="11"/>
      <c r="D214" s="11"/>
      <c r="E214" s="11"/>
      <c r="F214" s="11" t="s">
        <v>30</v>
      </c>
      <c r="G214" s="68"/>
      <c r="H214" s="69"/>
      <c r="I214" s="69"/>
      <c r="J214" s="69"/>
      <c r="K214" s="69"/>
      <c r="L214" s="69"/>
      <c r="M214" s="69"/>
      <c r="N214" s="69"/>
      <c r="O214" s="69"/>
      <c r="P214" s="70"/>
      <c r="Q214" s="52"/>
      <c r="R214" s="35"/>
      <c r="W214" s="32">
        <f t="shared" si="91"/>
        <v>0</v>
      </c>
    </row>
    <row r="215" s="26" customFormat="1">
      <c r="A215" s="14"/>
      <c r="B215" s="57" t="s">
        <v>90</v>
      </c>
      <c r="C215" s="12" t="s">
        <v>70</v>
      </c>
      <c r="D215" s="12"/>
      <c r="E215" s="12"/>
      <c r="F215" s="11" t="s">
        <v>22</v>
      </c>
      <c r="G215" s="54">
        <f>SUM(G216:G221)</f>
        <v>511.80000000000001</v>
      </c>
      <c r="H215" s="54">
        <f t="shared" ref="H215:P215" si="97">SUM(H216:H221)</f>
        <v>141.40000000000001</v>
      </c>
      <c r="I215" s="54">
        <f t="shared" si="97"/>
        <v>220</v>
      </c>
      <c r="J215" s="54">
        <f t="shared" si="97"/>
        <v>29.600000000000001</v>
      </c>
      <c r="K215" s="54">
        <f t="shared" si="97"/>
        <v>0</v>
      </c>
      <c r="L215" s="54">
        <f t="shared" si="97"/>
        <v>0</v>
      </c>
      <c r="M215" s="54">
        <f t="shared" si="97"/>
        <v>180</v>
      </c>
      <c r="N215" s="54">
        <f t="shared" si="97"/>
        <v>0</v>
      </c>
      <c r="O215" s="54">
        <f t="shared" si="97"/>
        <v>111.8</v>
      </c>
      <c r="P215" s="54">
        <f t="shared" si="97"/>
        <v>111.8</v>
      </c>
      <c r="Q215" s="52"/>
      <c r="R215" s="35"/>
      <c r="W215" s="32">
        <f t="shared" si="91"/>
        <v>190.40000000000001</v>
      </c>
      <c r="GB215" s="26"/>
      <c r="GC215" s="26"/>
      <c r="GD215" s="26"/>
      <c r="GE215" s="26"/>
      <c r="GF215" s="26"/>
      <c r="GG215" s="26"/>
      <c r="GH215" s="26"/>
      <c r="GI215" s="26"/>
      <c r="GJ215" s="26"/>
      <c r="GK215" s="26"/>
      <c r="GL215" s="26"/>
      <c r="GM215" s="26"/>
      <c r="GN215" s="26"/>
      <c r="GO215" s="26"/>
      <c r="GP215" s="26"/>
      <c r="GQ215" s="26"/>
      <c r="GR215" s="26"/>
      <c r="GS215" s="26"/>
      <c r="GT215" s="26"/>
      <c r="GU215" s="26"/>
      <c r="GV215" s="26"/>
      <c r="GW215" s="26"/>
      <c r="GX215" s="26"/>
      <c r="GY215" s="26"/>
      <c r="GZ215" s="26"/>
      <c r="HA215" s="26"/>
      <c r="HB215" s="26"/>
      <c r="HC215" s="26"/>
      <c r="HD215" s="26"/>
      <c r="HE215" s="26"/>
      <c r="HF215" s="26"/>
      <c r="HG215" s="26"/>
      <c r="HH215" s="26"/>
    </row>
    <row r="216" s="8" customFormat="1" ht="57" customHeight="1">
      <c r="A216" s="14"/>
      <c r="B216" s="57"/>
      <c r="C216" s="14"/>
      <c r="D216" s="14"/>
      <c r="E216" s="14"/>
      <c r="F216" s="11" t="s">
        <v>24</v>
      </c>
      <c r="G216" s="54">
        <f>I216+K216+M216+O216</f>
        <v>511.80000000000001</v>
      </c>
      <c r="H216" s="54">
        <f>J216+L216+N216+P216</f>
        <v>141.40000000000001</v>
      </c>
      <c r="I216" s="54">
        <v>220</v>
      </c>
      <c r="J216" s="54">
        <v>29.600000000000001</v>
      </c>
      <c r="K216" s="54">
        <v>0</v>
      </c>
      <c r="L216" s="54">
        <v>0</v>
      </c>
      <c r="M216" s="54">
        <v>180</v>
      </c>
      <c r="N216" s="54">
        <v>0</v>
      </c>
      <c r="O216" s="54">
        <v>111.8</v>
      </c>
      <c r="P216" s="54">
        <f>O216</f>
        <v>111.8</v>
      </c>
      <c r="Q216" s="52"/>
      <c r="R216" s="81"/>
      <c r="W216" s="32">
        <f t="shared" si="91"/>
        <v>190.40000000000001</v>
      </c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</row>
    <row r="217" ht="71.450000000000003" customHeight="1">
      <c r="A217" s="14"/>
      <c r="B217" s="57"/>
      <c r="C217" s="16"/>
      <c r="D217" s="16"/>
      <c r="E217" s="14"/>
      <c r="F217" s="11" t="s">
        <v>26</v>
      </c>
      <c r="G217" s="61" t="s">
        <v>89</v>
      </c>
      <c r="H217" s="62"/>
      <c r="I217" s="62"/>
      <c r="J217" s="62"/>
      <c r="K217" s="62"/>
      <c r="L217" s="62"/>
      <c r="M217" s="62"/>
      <c r="N217" s="62"/>
      <c r="O217" s="62"/>
      <c r="P217" s="63"/>
      <c r="Q217" s="52"/>
      <c r="R217" s="35"/>
      <c r="W217" s="32">
        <f t="shared" si="91"/>
        <v>0</v>
      </c>
    </row>
    <row r="218" ht="15.75" hidden="1">
      <c r="A218" s="14"/>
      <c r="B218" s="57"/>
      <c r="C218" s="11"/>
      <c r="D218" s="11"/>
      <c r="E218" s="16"/>
      <c r="F218" s="11" t="s">
        <v>27</v>
      </c>
      <c r="G218" s="65"/>
      <c r="H218" s="66"/>
      <c r="I218" s="66"/>
      <c r="J218" s="66"/>
      <c r="K218" s="66"/>
      <c r="L218" s="66"/>
      <c r="M218" s="66"/>
      <c r="N218" s="66"/>
      <c r="O218" s="66"/>
      <c r="P218" s="67"/>
      <c r="Q218" s="52"/>
      <c r="R218" s="35"/>
      <c r="W218" s="32">
        <f t="shared" si="91"/>
        <v>0</v>
      </c>
    </row>
    <row r="219" ht="15.75" hidden="1">
      <c r="A219" s="14"/>
      <c r="B219" s="57"/>
      <c r="C219" s="11"/>
      <c r="D219" s="11"/>
      <c r="E219" s="11"/>
      <c r="F219" s="11" t="s">
        <v>28</v>
      </c>
      <c r="G219" s="65"/>
      <c r="H219" s="66"/>
      <c r="I219" s="66"/>
      <c r="J219" s="66"/>
      <c r="K219" s="66"/>
      <c r="L219" s="66"/>
      <c r="M219" s="66"/>
      <c r="N219" s="66"/>
      <c r="O219" s="66"/>
      <c r="P219" s="67"/>
      <c r="Q219" s="52"/>
      <c r="R219" s="35"/>
      <c r="W219" s="32">
        <f t="shared" si="91"/>
        <v>0</v>
      </c>
    </row>
    <row r="220" ht="15.75" hidden="1">
      <c r="A220" s="14"/>
      <c r="B220" s="57"/>
      <c r="C220" s="11"/>
      <c r="D220" s="11"/>
      <c r="E220" s="11"/>
      <c r="F220" s="11" t="s">
        <v>29</v>
      </c>
      <c r="G220" s="65"/>
      <c r="H220" s="66"/>
      <c r="I220" s="66"/>
      <c r="J220" s="66"/>
      <c r="K220" s="66"/>
      <c r="L220" s="66"/>
      <c r="M220" s="66"/>
      <c r="N220" s="66"/>
      <c r="O220" s="66"/>
      <c r="P220" s="67"/>
      <c r="Q220" s="52"/>
      <c r="R220" s="35"/>
      <c r="W220" s="32">
        <f t="shared" si="91"/>
        <v>0</v>
      </c>
    </row>
    <row r="221" ht="15.75" hidden="1">
      <c r="A221" s="14"/>
      <c r="B221" s="57"/>
      <c r="C221" s="11"/>
      <c r="D221" s="11"/>
      <c r="E221" s="11"/>
      <c r="F221" s="11" t="s">
        <v>30</v>
      </c>
      <c r="G221" s="68"/>
      <c r="H221" s="69"/>
      <c r="I221" s="69"/>
      <c r="J221" s="69"/>
      <c r="K221" s="69"/>
      <c r="L221" s="69"/>
      <c r="M221" s="69"/>
      <c r="N221" s="69"/>
      <c r="O221" s="69"/>
      <c r="P221" s="70"/>
      <c r="Q221" s="52"/>
      <c r="R221" s="35"/>
      <c r="W221" s="32">
        <f t="shared" si="91"/>
        <v>0</v>
      </c>
    </row>
    <row r="222" s="26" customFormat="1">
      <c r="A222" s="14"/>
      <c r="B222" s="57" t="s">
        <v>91</v>
      </c>
      <c r="C222" s="12" t="s">
        <v>70</v>
      </c>
      <c r="D222" s="12"/>
      <c r="E222" s="12"/>
      <c r="F222" s="11" t="s">
        <v>22</v>
      </c>
      <c r="G222" s="54">
        <f>SUM(G223:G228)</f>
        <v>1300</v>
      </c>
      <c r="H222" s="54">
        <f t="shared" ref="H222:P222" si="98">SUM(H223:H228)</f>
        <v>600</v>
      </c>
      <c r="I222" s="54">
        <f t="shared" si="98"/>
        <v>500</v>
      </c>
      <c r="J222" s="54">
        <f t="shared" si="98"/>
        <v>0</v>
      </c>
      <c r="K222" s="54">
        <f t="shared" si="98"/>
        <v>0</v>
      </c>
      <c r="L222" s="54">
        <f t="shared" si="98"/>
        <v>0</v>
      </c>
      <c r="M222" s="54">
        <f t="shared" si="98"/>
        <v>200</v>
      </c>
      <c r="N222" s="54">
        <f t="shared" si="98"/>
        <v>0</v>
      </c>
      <c r="O222" s="54">
        <f>SUM(O223:O228)</f>
        <v>600</v>
      </c>
      <c r="P222" s="54">
        <f t="shared" si="98"/>
        <v>600</v>
      </c>
      <c r="Q222" s="52"/>
      <c r="R222" s="35"/>
      <c r="W222" s="32">
        <f t="shared" si="91"/>
        <v>500</v>
      </c>
      <c r="GB222" s="26"/>
      <c r="GC222" s="26"/>
      <c r="GD222" s="26"/>
      <c r="GE222" s="26"/>
      <c r="GF222" s="26"/>
      <c r="GG222" s="26"/>
      <c r="GH222" s="26"/>
      <c r="GI222" s="26"/>
      <c r="GJ222" s="26"/>
      <c r="GK222" s="26"/>
      <c r="GL222" s="26"/>
      <c r="GM222" s="26"/>
      <c r="GN222" s="26"/>
      <c r="GO222" s="26"/>
      <c r="GP222" s="26"/>
      <c r="GQ222" s="26"/>
      <c r="GR222" s="26"/>
      <c r="GS222" s="26"/>
      <c r="GT222" s="26"/>
      <c r="GU222" s="26"/>
      <c r="GV222" s="26"/>
      <c r="GW222" s="26"/>
      <c r="GX222" s="26"/>
      <c r="GY222" s="26"/>
      <c r="GZ222" s="26"/>
      <c r="HA222" s="26"/>
      <c r="HB222" s="26"/>
      <c r="HC222" s="26"/>
      <c r="HD222" s="26"/>
      <c r="HE222" s="26"/>
      <c r="HF222" s="26"/>
      <c r="HG222" s="26"/>
      <c r="HH222" s="26"/>
    </row>
    <row r="223" s="8" customFormat="1" ht="48" customHeight="1">
      <c r="A223" s="14"/>
      <c r="B223" s="57"/>
      <c r="C223" s="14"/>
      <c r="D223" s="14"/>
      <c r="E223" s="14"/>
      <c r="F223" s="11" t="s">
        <v>24</v>
      </c>
      <c r="G223" s="54">
        <f>I223+K223+M223+O223</f>
        <v>1300</v>
      </c>
      <c r="H223" s="54">
        <f>J223+L223+N223+P223</f>
        <v>600</v>
      </c>
      <c r="I223" s="54">
        <f>500+J223</f>
        <v>500</v>
      </c>
      <c r="J223" s="54">
        <v>0</v>
      </c>
      <c r="K223" s="54">
        <v>0</v>
      </c>
      <c r="L223" s="54">
        <v>0</v>
      </c>
      <c r="M223" s="54">
        <v>200</v>
      </c>
      <c r="N223" s="54">
        <v>0</v>
      </c>
      <c r="O223" s="54">
        <v>600</v>
      </c>
      <c r="P223" s="54">
        <f>O223</f>
        <v>600</v>
      </c>
      <c r="Q223" s="52"/>
      <c r="R223" s="81"/>
      <c r="W223" s="32">
        <f t="shared" si="91"/>
        <v>500</v>
      </c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</row>
    <row r="224" ht="93.599999999999994" customHeight="1">
      <c r="A224" s="14"/>
      <c r="B224" s="57"/>
      <c r="C224" s="16"/>
      <c r="D224" s="16"/>
      <c r="E224" s="14"/>
      <c r="F224" s="11" t="s">
        <v>26</v>
      </c>
      <c r="G224" s="61" t="s">
        <v>89</v>
      </c>
      <c r="H224" s="62"/>
      <c r="I224" s="62"/>
      <c r="J224" s="62"/>
      <c r="K224" s="62"/>
      <c r="L224" s="62"/>
      <c r="M224" s="62"/>
      <c r="N224" s="62"/>
      <c r="O224" s="62"/>
      <c r="P224" s="63"/>
      <c r="Q224" s="52"/>
      <c r="R224" s="35"/>
      <c r="W224" s="32">
        <f t="shared" si="91"/>
        <v>0</v>
      </c>
    </row>
    <row r="225" ht="15.75" hidden="1">
      <c r="A225" s="14"/>
      <c r="B225" s="57"/>
      <c r="C225" s="11"/>
      <c r="D225" s="11"/>
      <c r="E225" s="16"/>
      <c r="F225" s="11" t="s">
        <v>27</v>
      </c>
      <c r="G225" s="65"/>
      <c r="H225" s="66"/>
      <c r="I225" s="66"/>
      <c r="J225" s="66"/>
      <c r="K225" s="66"/>
      <c r="L225" s="66"/>
      <c r="M225" s="66"/>
      <c r="N225" s="66"/>
      <c r="O225" s="66"/>
      <c r="P225" s="67"/>
      <c r="Q225" s="52"/>
      <c r="R225" s="35"/>
      <c r="W225" s="32">
        <f t="shared" si="91"/>
        <v>0</v>
      </c>
    </row>
    <row r="226" ht="15.75" hidden="1">
      <c r="A226" s="14"/>
      <c r="B226" s="57"/>
      <c r="C226" s="11"/>
      <c r="D226" s="11"/>
      <c r="E226" s="11"/>
      <c r="F226" s="11" t="s">
        <v>28</v>
      </c>
      <c r="G226" s="65"/>
      <c r="H226" s="66"/>
      <c r="I226" s="66"/>
      <c r="J226" s="66"/>
      <c r="K226" s="66"/>
      <c r="L226" s="66"/>
      <c r="M226" s="66"/>
      <c r="N226" s="66"/>
      <c r="O226" s="66"/>
      <c r="P226" s="67"/>
      <c r="Q226" s="52"/>
      <c r="R226" s="35"/>
      <c r="W226" s="32">
        <f t="shared" si="91"/>
        <v>0</v>
      </c>
    </row>
    <row r="227" ht="15.75" hidden="1">
      <c r="A227" s="14"/>
      <c r="B227" s="57"/>
      <c r="C227" s="11"/>
      <c r="D227" s="11"/>
      <c r="E227" s="11"/>
      <c r="F227" s="11" t="s">
        <v>29</v>
      </c>
      <c r="G227" s="65"/>
      <c r="H227" s="66"/>
      <c r="I227" s="66"/>
      <c r="J227" s="66"/>
      <c r="K227" s="66"/>
      <c r="L227" s="66"/>
      <c r="M227" s="66"/>
      <c r="N227" s="66"/>
      <c r="O227" s="66"/>
      <c r="P227" s="67"/>
      <c r="Q227" s="52"/>
      <c r="R227" s="35"/>
      <c r="W227" s="32">
        <f t="shared" si="91"/>
        <v>0</v>
      </c>
    </row>
    <row r="228" ht="15.75" hidden="1">
      <c r="A228" s="14"/>
      <c r="B228" s="57"/>
      <c r="C228" s="11"/>
      <c r="D228" s="11"/>
      <c r="E228" s="11"/>
      <c r="F228" s="11" t="s">
        <v>30</v>
      </c>
      <c r="G228" s="68"/>
      <c r="H228" s="69"/>
      <c r="I228" s="69"/>
      <c r="J228" s="69"/>
      <c r="K228" s="69"/>
      <c r="L228" s="69"/>
      <c r="M228" s="69"/>
      <c r="N228" s="69"/>
      <c r="O228" s="69"/>
      <c r="P228" s="70"/>
      <c r="Q228" s="52"/>
      <c r="R228" s="35"/>
      <c r="W228" s="32">
        <f t="shared" si="91"/>
        <v>0</v>
      </c>
    </row>
    <row r="229" ht="15.75" hidden="1">
      <c r="A229" s="14"/>
      <c r="B229" s="57" t="s">
        <v>92</v>
      </c>
      <c r="C229" s="11"/>
      <c r="D229" s="11"/>
      <c r="E229" s="11"/>
      <c r="F229" s="11" t="s">
        <v>22</v>
      </c>
      <c r="G229" s="54">
        <f>SUM(G230:G235)</f>
        <v>0</v>
      </c>
      <c r="H229" s="54">
        <f t="shared" ref="H229:P229" si="99">SUM(H230:H235)</f>
        <v>0</v>
      </c>
      <c r="I229" s="54">
        <f t="shared" si="99"/>
        <v>0</v>
      </c>
      <c r="J229" s="54">
        <f t="shared" si="99"/>
        <v>0</v>
      </c>
      <c r="K229" s="54">
        <f t="shared" si="99"/>
        <v>0</v>
      </c>
      <c r="L229" s="54">
        <f t="shared" si="99"/>
        <v>0</v>
      </c>
      <c r="M229" s="54">
        <f t="shared" si="99"/>
        <v>0</v>
      </c>
      <c r="N229" s="54">
        <f t="shared" si="99"/>
        <v>0</v>
      </c>
      <c r="O229" s="54">
        <f t="shared" si="99"/>
        <v>0</v>
      </c>
      <c r="P229" s="54">
        <f t="shared" si="99"/>
        <v>0</v>
      </c>
      <c r="Q229" s="52"/>
      <c r="R229" s="35"/>
      <c r="W229" s="32">
        <f t="shared" si="91"/>
        <v>0</v>
      </c>
    </row>
    <row r="230" s="58" customFormat="1" hidden="1">
      <c r="A230" s="14"/>
      <c r="B230" s="57"/>
      <c r="C230" s="11"/>
      <c r="D230" s="11"/>
      <c r="E230" s="11"/>
      <c r="F230" s="11" t="s">
        <v>24</v>
      </c>
      <c r="G230" s="54">
        <f t="shared" ref="G230:H235" si="100">I230+K230+M230+O230</f>
        <v>0</v>
      </c>
      <c r="H230" s="54">
        <f t="shared" si="100"/>
        <v>0</v>
      </c>
      <c r="I230" s="54"/>
      <c r="J230" s="54">
        <v>0</v>
      </c>
      <c r="K230" s="54">
        <v>0</v>
      </c>
      <c r="L230" s="54">
        <v>0</v>
      </c>
      <c r="M230" s="54">
        <v>0</v>
      </c>
      <c r="N230" s="54">
        <v>0</v>
      </c>
      <c r="O230" s="54">
        <f t="shared" ref="O230:O235" si="101">P230</f>
        <v>0</v>
      </c>
      <c r="P230" s="54">
        <v>0</v>
      </c>
      <c r="Q230" s="52"/>
      <c r="R230" s="81"/>
      <c r="W230" s="32">
        <f t="shared" si="91"/>
        <v>0</v>
      </c>
      <c r="GB230" s="58"/>
      <c r="GC230" s="58"/>
      <c r="GD230" s="58"/>
      <c r="GE230" s="58"/>
      <c r="GF230" s="58"/>
      <c r="GG230" s="58"/>
      <c r="GH230" s="58"/>
      <c r="GI230" s="58"/>
      <c r="GJ230" s="58"/>
      <c r="GK230" s="58"/>
      <c r="GL230" s="58"/>
      <c r="GM230" s="58"/>
      <c r="GN230" s="58"/>
      <c r="GO230" s="58"/>
      <c r="GP230" s="58"/>
      <c r="GQ230" s="58"/>
      <c r="GR230" s="58"/>
      <c r="GS230" s="58"/>
      <c r="GT230" s="58"/>
      <c r="GU230" s="58"/>
      <c r="GV230" s="58"/>
      <c r="GW230" s="58"/>
      <c r="GX230" s="58"/>
      <c r="GY230" s="58"/>
      <c r="GZ230" s="58"/>
      <c r="HA230" s="58"/>
      <c r="HB230" s="58"/>
      <c r="HC230" s="58"/>
      <c r="HD230" s="58"/>
      <c r="HE230" s="58"/>
      <c r="HF230" s="58"/>
      <c r="HG230" s="58"/>
      <c r="HH230" s="58"/>
    </row>
    <row r="231" s="97" customFormat="1" hidden="1">
      <c r="A231" s="14"/>
      <c r="B231" s="57"/>
      <c r="C231" s="11"/>
      <c r="D231" s="11"/>
      <c r="E231" s="11"/>
      <c r="F231" s="11" t="s">
        <v>26</v>
      </c>
      <c r="G231" s="54">
        <f t="shared" si="100"/>
        <v>0</v>
      </c>
      <c r="H231" s="54">
        <f t="shared" si="100"/>
        <v>0</v>
      </c>
      <c r="I231" s="54">
        <v>0</v>
      </c>
      <c r="J231" s="54">
        <v>0</v>
      </c>
      <c r="K231" s="54">
        <v>0</v>
      </c>
      <c r="L231" s="54">
        <v>0</v>
      </c>
      <c r="M231" s="54">
        <v>0</v>
      </c>
      <c r="N231" s="54">
        <v>0</v>
      </c>
      <c r="O231" s="54">
        <f t="shared" si="101"/>
        <v>0</v>
      </c>
      <c r="P231" s="54">
        <v>0</v>
      </c>
      <c r="Q231" s="52"/>
      <c r="R231" s="35"/>
      <c r="W231" s="32">
        <f t="shared" si="91"/>
        <v>0</v>
      </c>
      <c r="GB231" s="97"/>
      <c r="GC231" s="97"/>
      <c r="GD231" s="97"/>
      <c r="GE231" s="97"/>
      <c r="GF231" s="97"/>
      <c r="GG231" s="97"/>
      <c r="GH231" s="97"/>
      <c r="GI231" s="97"/>
      <c r="GJ231" s="97"/>
      <c r="GK231" s="97"/>
      <c r="GL231" s="97"/>
      <c r="GM231" s="97"/>
      <c r="GN231" s="97"/>
      <c r="GO231" s="97"/>
      <c r="GP231" s="97"/>
      <c r="GQ231" s="97"/>
      <c r="GR231" s="97"/>
      <c r="GS231" s="97"/>
      <c r="GT231" s="97"/>
      <c r="GU231" s="97"/>
      <c r="GV231" s="97"/>
      <c r="GW231" s="97"/>
      <c r="GX231" s="97"/>
      <c r="GY231" s="97"/>
      <c r="GZ231" s="97"/>
      <c r="HA231" s="97"/>
      <c r="HB231" s="97"/>
      <c r="HC231" s="97"/>
      <c r="HD231" s="97"/>
      <c r="HE231" s="97"/>
      <c r="HF231" s="97"/>
      <c r="HG231" s="97"/>
      <c r="HH231" s="97"/>
    </row>
    <row r="232" s="97" customFormat="1" hidden="1">
      <c r="A232" s="14"/>
      <c r="B232" s="57"/>
      <c r="C232" s="11"/>
      <c r="D232" s="11"/>
      <c r="E232" s="11"/>
      <c r="F232" s="11" t="s">
        <v>27</v>
      </c>
      <c r="G232" s="54">
        <f t="shared" si="100"/>
        <v>0</v>
      </c>
      <c r="H232" s="54">
        <f t="shared" si="100"/>
        <v>0</v>
      </c>
      <c r="I232" s="54">
        <v>0</v>
      </c>
      <c r="J232" s="54">
        <v>0</v>
      </c>
      <c r="K232" s="54">
        <v>0</v>
      </c>
      <c r="L232" s="54">
        <v>0</v>
      </c>
      <c r="M232" s="54">
        <v>0</v>
      </c>
      <c r="N232" s="54">
        <v>0</v>
      </c>
      <c r="O232" s="54">
        <f t="shared" si="101"/>
        <v>0</v>
      </c>
      <c r="P232" s="54">
        <v>0</v>
      </c>
      <c r="Q232" s="52"/>
      <c r="R232" s="35"/>
      <c r="W232" s="32">
        <f t="shared" si="91"/>
        <v>0</v>
      </c>
      <c r="GB232" s="97"/>
      <c r="GC232" s="97"/>
      <c r="GD232" s="97"/>
      <c r="GE232" s="97"/>
      <c r="GF232" s="97"/>
      <c r="GG232" s="97"/>
      <c r="GH232" s="97"/>
      <c r="GI232" s="97"/>
      <c r="GJ232" s="97"/>
      <c r="GK232" s="97"/>
      <c r="GL232" s="97"/>
      <c r="GM232" s="97"/>
      <c r="GN232" s="97"/>
      <c r="GO232" s="97"/>
      <c r="GP232" s="97"/>
      <c r="GQ232" s="97"/>
      <c r="GR232" s="97"/>
      <c r="GS232" s="97"/>
      <c r="GT232" s="97"/>
      <c r="GU232" s="97"/>
      <c r="GV232" s="97"/>
      <c r="GW232" s="97"/>
      <c r="GX232" s="97"/>
      <c r="GY232" s="97"/>
      <c r="GZ232" s="97"/>
      <c r="HA232" s="97"/>
      <c r="HB232" s="97"/>
      <c r="HC232" s="97"/>
      <c r="HD232" s="97"/>
      <c r="HE232" s="97"/>
      <c r="HF232" s="97"/>
      <c r="HG232" s="97"/>
      <c r="HH232" s="97"/>
    </row>
    <row r="233" s="97" customFormat="1" hidden="1">
      <c r="A233" s="14"/>
      <c r="B233" s="57"/>
      <c r="C233" s="11"/>
      <c r="D233" s="11"/>
      <c r="E233" s="11"/>
      <c r="F233" s="11" t="s">
        <v>28</v>
      </c>
      <c r="G233" s="54">
        <f t="shared" si="100"/>
        <v>0</v>
      </c>
      <c r="H233" s="54">
        <f t="shared" si="100"/>
        <v>0</v>
      </c>
      <c r="I233" s="54">
        <v>0</v>
      </c>
      <c r="J233" s="54">
        <v>0</v>
      </c>
      <c r="K233" s="54">
        <v>0</v>
      </c>
      <c r="L233" s="54">
        <v>0</v>
      </c>
      <c r="M233" s="54">
        <v>0</v>
      </c>
      <c r="N233" s="54">
        <v>0</v>
      </c>
      <c r="O233" s="54">
        <f t="shared" si="101"/>
        <v>0</v>
      </c>
      <c r="P233" s="54">
        <v>0</v>
      </c>
      <c r="Q233" s="52"/>
      <c r="R233" s="35"/>
      <c r="W233" s="32">
        <f t="shared" si="91"/>
        <v>0</v>
      </c>
      <c r="GB233" s="97"/>
      <c r="GC233" s="97"/>
      <c r="GD233" s="97"/>
      <c r="GE233" s="97"/>
      <c r="GF233" s="97"/>
      <c r="GG233" s="97"/>
      <c r="GH233" s="97"/>
      <c r="GI233" s="97"/>
      <c r="GJ233" s="97"/>
      <c r="GK233" s="97"/>
      <c r="GL233" s="97"/>
      <c r="GM233" s="97"/>
      <c r="GN233" s="97"/>
      <c r="GO233" s="97"/>
      <c r="GP233" s="97"/>
      <c r="GQ233" s="97"/>
      <c r="GR233" s="97"/>
      <c r="GS233" s="97"/>
      <c r="GT233" s="97"/>
      <c r="GU233" s="97"/>
      <c r="GV233" s="97"/>
      <c r="GW233" s="97"/>
      <c r="GX233" s="97"/>
      <c r="GY233" s="97"/>
      <c r="GZ233" s="97"/>
      <c r="HA233" s="97"/>
      <c r="HB233" s="97"/>
      <c r="HC233" s="97"/>
      <c r="HD233" s="97"/>
      <c r="HE233" s="97"/>
      <c r="HF233" s="97"/>
      <c r="HG233" s="97"/>
      <c r="HH233" s="97"/>
    </row>
    <row r="234" s="97" customFormat="1" hidden="1">
      <c r="A234" s="14"/>
      <c r="B234" s="57"/>
      <c r="C234" s="11"/>
      <c r="D234" s="11"/>
      <c r="E234" s="11"/>
      <c r="F234" s="11" t="s">
        <v>29</v>
      </c>
      <c r="G234" s="54">
        <f t="shared" si="100"/>
        <v>0</v>
      </c>
      <c r="H234" s="54">
        <f t="shared" si="100"/>
        <v>0</v>
      </c>
      <c r="I234" s="54">
        <v>0</v>
      </c>
      <c r="J234" s="54">
        <v>0</v>
      </c>
      <c r="K234" s="54">
        <v>0</v>
      </c>
      <c r="L234" s="54">
        <v>0</v>
      </c>
      <c r="M234" s="54">
        <v>0</v>
      </c>
      <c r="N234" s="54">
        <v>0</v>
      </c>
      <c r="O234" s="54">
        <f t="shared" si="101"/>
        <v>0</v>
      </c>
      <c r="P234" s="54">
        <v>0</v>
      </c>
      <c r="Q234" s="52"/>
      <c r="R234" s="35"/>
      <c r="W234" s="32">
        <f t="shared" si="91"/>
        <v>0</v>
      </c>
      <c r="GB234" s="97"/>
      <c r="GC234" s="97"/>
      <c r="GD234" s="97"/>
      <c r="GE234" s="97"/>
      <c r="GF234" s="97"/>
      <c r="GG234" s="97"/>
      <c r="GH234" s="97"/>
      <c r="GI234" s="97"/>
      <c r="GJ234" s="97"/>
      <c r="GK234" s="97"/>
      <c r="GL234" s="97"/>
      <c r="GM234" s="97"/>
      <c r="GN234" s="97"/>
      <c r="GO234" s="97"/>
      <c r="GP234" s="97"/>
      <c r="GQ234" s="97"/>
      <c r="GR234" s="97"/>
      <c r="GS234" s="97"/>
      <c r="GT234" s="97"/>
      <c r="GU234" s="97"/>
      <c r="GV234" s="97"/>
      <c r="GW234" s="97"/>
      <c r="GX234" s="97"/>
      <c r="GY234" s="97"/>
      <c r="GZ234" s="97"/>
      <c r="HA234" s="97"/>
      <c r="HB234" s="97"/>
      <c r="HC234" s="97"/>
      <c r="HD234" s="97"/>
      <c r="HE234" s="97"/>
      <c r="HF234" s="97"/>
      <c r="HG234" s="97"/>
      <c r="HH234" s="97"/>
    </row>
    <row r="235" s="97" customFormat="1" hidden="1">
      <c r="A235" s="14"/>
      <c r="B235" s="57"/>
      <c r="C235" s="11"/>
      <c r="D235" s="11"/>
      <c r="E235" s="11"/>
      <c r="F235" s="11" t="s">
        <v>30</v>
      </c>
      <c r="G235" s="54">
        <f t="shared" si="100"/>
        <v>0</v>
      </c>
      <c r="H235" s="54">
        <f t="shared" si="100"/>
        <v>0</v>
      </c>
      <c r="I235" s="54">
        <v>0</v>
      </c>
      <c r="J235" s="54">
        <v>0</v>
      </c>
      <c r="K235" s="54">
        <v>0</v>
      </c>
      <c r="L235" s="54">
        <v>0</v>
      </c>
      <c r="M235" s="54">
        <v>0</v>
      </c>
      <c r="N235" s="54">
        <v>0</v>
      </c>
      <c r="O235" s="54">
        <f t="shared" si="101"/>
        <v>0</v>
      </c>
      <c r="P235" s="54">
        <v>0</v>
      </c>
      <c r="Q235" s="52"/>
      <c r="R235" s="35"/>
      <c r="W235" s="32">
        <f t="shared" si="91"/>
        <v>0</v>
      </c>
      <c r="GB235" s="97"/>
      <c r="GC235" s="97"/>
      <c r="GD235" s="97"/>
      <c r="GE235" s="97"/>
      <c r="GF235" s="97"/>
      <c r="GG235" s="97"/>
      <c r="GH235" s="97"/>
      <c r="GI235" s="97"/>
      <c r="GJ235" s="97"/>
      <c r="GK235" s="97"/>
      <c r="GL235" s="97"/>
      <c r="GM235" s="97"/>
      <c r="GN235" s="97"/>
      <c r="GO235" s="97"/>
      <c r="GP235" s="97"/>
      <c r="GQ235" s="97"/>
      <c r="GR235" s="97"/>
      <c r="GS235" s="97"/>
      <c r="GT235" s="97"/>
      <c r="GU235" s="97"/>
      <c r="GV235" s="97"/>
      <c r="GW235" s="97"/>
      <c r="GX235" s="97"/>
      <c r="GY235" s="97"/>
      <c r="GZ235" s="97"/>
      <c r="HA235" s="97"/>
      <c r="HB235" s="97"/>
      <c r="HC235" s="97"/>
      <c r="HD235" s="97"/>
      <c r="HE235" s="97"/>
      <c r="HF235" s="97"/>
      <c r="HG235" s="97"/>
      <c r="HH235" s="97"/>
    </row>
    <row r="236" s="98" customFormat="1">
      <c r="A236" s="14"/>
      <c r="B236" s="57" t="s">
        <v>93</v>
      </c>
      <c r="C236" s="72"/>
      <c r="D236" s="12" t="s">
        <v>56</v>
      </c>
      <c r="E236" s="12" t="s">
        <v>94</v>
      </c>
      <c r="F236" s="11" t="s">
        <v>22</v>
      </c>
      <c r="G236" s="54">
        <f>SUM(G237:G247)</f>
        <v>22214.099999999999</v>
      </c>
      <c r="H236" s="54">
        <f t="shared" ref="H236:P236" si="102">SUM(H237:H247)</f>
        <v>4527.6000000000004</v>
      </c>
      <c r="I236" s="54">
        <f t="shared" si="102"/>
        <v>21030</v>
      </c>
      <c r="J236" s="54">
        <f t="shared" si="102"/>
        <v>3343.4999999999995</v>
      </c>
      <c r="K236" s="54">
        <f t="shared" si="102"/>
        <v>0</v>
      </c>
      <c r="L236" s="54">
        <f t="shared" si="102"/>
        <v>0</v>
      </c>
      <c r="M236" s="54">
        <f t="shared" si="102"/>
        <v>0</v>
      </c>
      <c r="N236" s="54">
        <f t="shared" si="102"/>
        <v>0</v>
      </c>
      <c r="O236" s="54">
        <f t="shared" si="102"/>
        <v>1184.0999999999999</v>
      </c>
      <c r="P236" s="54">
        <f t="shared" si="102"/>
        <v>1184.0999999999999</v>
      </c>
      <c r="Q236" s="52"/>
      <c r="R236" s="35"/>
      <c r="W236" s="32">
        <f t="shared" si="91"/>
        <v>17686.5</v>
      </c>
      <c r="GB236" s="98"/>
      <c r="GC236" s="98"/>
      <c r="GD236" s="98"/>
      <c r="GE236" s="98"/>
      <c r="GF236" s="98"/>
      <c r="GG236" s="98"/>
      <c r="GH236" s="98"/>
      <c r="GI236" s="98"/>
      <c r="GJ236" s="98"/>
      <c r="GK236" s="98"/>
      <c r="GL236" s="98"/>
      <c r="GM236" s="98"/>
      <c r="GN236" s="98"/>
      <c r="GO236" s="98"/>
      <c r="GP236" s="98"/>
      <c r="GQ236" s="98"/>
      <c r="GR236" s="98"/>
      <c r="GS236" s="98"/>
      <c r="GT236" s="98"/>
      <c r="GU236" s="98"/>
      <c r="GV236" s="98"/>
      <c r="GW236" s="98"/>
      <c r="GX236" s="98"/>
      <c r="GY236" s="98"/>
      <c r="GZ236" s="98"/>
      <c r="HA236" s="98"/>
      <c r="HB236" s="98"/>
      <c r="HC236" s="98"/>
      <c r="HD236" s="98"/>
      <c r="HE236" s="98"/>
      <c r="HF236" s="98"/>
      <c r="HG236" s="98"/>
      <c r="HH236" s="98"/>
    </row>
    <row r="237" s="8" customFormat="1">
      <c r="A237" s="14"/>
      <c r="B237" s="57"/>
      <c r="C237" s="11" t="s">
        <v>95</v>
      </c>
      <c r="D237" s="14"/>
      <c r="E237" s="14"/>
      <c r="F237" s="11" t="s">
        <v>24</v>
      </c>
      <c r="G237" s="54">
        <f t="shared" ref="G237:H247" si="103">I237+K237+M237+O237</f>
        <v>195</v>
      </c>
      <c r="H237" s="54">
        <f t="shared" si="103"/>
        <v>89</v>
      </c>
      <c r="I237" s="54">
        <v>106</v>
      </c>
      <c r="J237" s="54">
        <v>0</v>
      </c>
      <c r="K237" s="54">
        <v>0</v>
      </c>
      <c r="L237" s="54">
        <v>0</v>
      </c>
      <c r="M237" s="54">
        <v>0</v>
      </c>
      <c r="N237" s="54">
        <v>0</v>
      </c>
      <c r="O237" s="54">
        <v>89</v>
      </c>
      <c r="P237" s="54">
        <f>O237</f>
        <v>89</v>
      </c>
      <c r="Q237" s="52"/>
      <c r="R237" s="81"/>
      <c r="W237" s="32">
        <f t="shared" si="91"/>
        <v>106</v>
      </c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</row>
    <row r="238" ht="15.6" customHeight="1">
      <c r="A238" s="14"/>
      <c r="B238" s="57"/>
      <c r="C238" s="12" t="s">
        <v>96</v>
      </c>
      <c r="D238" s="14"/>
      <c r="E238" s="14"/>
      <c r="F238" s="11" t="s">
        <v>26</v>
      </c>
      <c r="G238" s="54">
        <f t="shared" si="103"/>
        <v>1160</v>
      </c>
      <c r="H238" s="54">
        <f t="shared" si="103"/>
        <v>1160</v>
      </c>
      <c r="I238" s="54">
        <f t="shared" ref="I238:I239" si="104">J238</f>
        <v>1160</v>
      </c>
      <c r="J238" s="54">
        <f>666+560-66</f>
        <v>1160</v>
      </c>
      <c r="K238" s="54">
        <v>0</v>
      </c>
      <c r="L238" s="54">
        <v>0</v>
      </c>
      <c r="M238" s="54">
        <v>0</v>
      </c>
      <c r="N238" s="54">
        <v>0</v>
      </c>
      <c r="O238" s="54">
        <v>0</v>
      </c>
      <c r="P238" s="54">
        <v>0</v>
      </c>
      <c r="Q238" s="52"/>
      <c r="R238" s="35"/>
      <c r="W238" s="32">
        <f t="shared" si="91"/>
        <v>0</v>
      </c>
    </row>
    <row r="239" ht="15.6" customHeight="1">
      <c r="A239" s="14"/>
      <c r="B239" s="57"/>
      <c r="C239" s="14"/>
      <c r="D239" s="14"/>
      <c r="E239" s="14"/>
      <c r="F239" s="11" t="s">
        <v>27</v>
      </c>
      <c r="G239" s="54">
        <f t="shared" si="103"/>
        <v>106</v>
      </c>
      <c r="H239" s="54">
        <f t="shared" si="103"/>
        <v>106</v>
      </c>
      <c r="I239" s="54">
        <f t="shared" si="104"/>
        <v>106</v>
      </c>
      <c r="J239" s="54">
        <v>106</v>
      </c>
      <c r="K239" s="54">
        <v>0</v>
      </c>
      <c r="L239" s="54">
        <v>0</v>
      </c>
      <c r="M239" s="54">
        <v>0</v>
      </c>
      <c r="N239" s="54">
        <v>0</v>
      </c>
      <c r="O239" s="54">
        <v>0</v>
      </c>
      <c r="P239" s="54">
        <v>0</v>
      </c>
      <c r="Q239" s="52"/>
      <c r="R239" s="35"/>
      <c r="W239" s="32">
        <f t="shared" si="91"/>
        <v>0</v>
      </c>
    </row>
    <row r="240" ht="90.75" customHeight="1">
      <c r="A240" s="14"/>
      <c r="B240" s="57"/>
      <c r="C240" s="14"/>
      <c r="D240" s="14"/>
      <c r="E240" s="14"/>
      <c r="F240" s="11" t="s">
        <v>28</v>
      </c>
      <c r="G240" s="54">
        <f t="shared" si="103"/>
        <v>106</v>
      </c>
      <c r="H240" s="54">
        <f t="shared" si="103"/>
        <v>0</v>
      </c>
      <c r="I240" s="54">
        <v>106</v>
      </c>
      <c r="J240" s="54">
        <f>106-106</f>
        <v>0</v>
      </c>
      <c r="K240" s="54">
        <v>0</v>
      </c>
      <c r="L240" s="54">
        <v>0</v>
      </c>
      <c r="M240" s="54">
        <v>0</v>
      </c>
      <c r="N240" s="54">
        <v>0</v>
      </c>
      <c r="O240" s="54">
        <v>0</v>
      </c>
      <c r="P240" s="54">
        <v>0</v>
      </c>
      <c r="Q240" s="52"/>
      <c r="R240" s="35"/>
      <c r="W240" s="32">
        <f t="shared" si="91"/>
        <v>106</v>
      </c>
    </row>
    <row r="241" ht="15.75">
      <c r="A241" s="14"/>
      <c r="B241" s="57"/>
      <c r="C241" s="14"/>
      <c r="D241" s="14"/>
      <c r="E241" s="14"/>
      <c r="F241" s="11" t="s">
        <v>29</v>
      </c>
      <c r="G241" s="54">
        <f t="shared" si="103"/>
        <v>106</v>
      </c>
      <c r="H241" s="54">
        <f t="shared" si="103"/>
        <v>106</v>
      </c>
      <c r="I241" s="54">
        <v>106</v>
      </c>
      <c r="J241" s="54">
        <v>106</v>
      </c>
      <c r="K241" s="54">
        <v>0</v>
      </c>
      <c r="L241" s="54">
        <v>0</v>
      </c>
      <c r="M241" s="54">
        <v>0</v>
      </c>
      <c r="N241" s="54">
        <v>0</v>
      </c>
      <c r="O241" s="54">
        <v>0</v>
      </c>
      <c r="P241" s="54">
        <v>0</v>
      </c>
      <c r="Q241" s="52"/>
      <c r="R241" s="35"/>
      <c r="W241" s="32">
        <f t="shared" si="91"/>
        <v>0</v>
      </c>
    </row>
    <row r="242" ht="15.75">
      <c r="A242" s="14"/>
      <c r="B242" s="57"/>
      <c r="C242" s="14"/>
      <c r="D242" s="14"/>
      <c r="E242" s="14"/>
      <c r="F242" s="11" t="s">
        <v>30</v>
      </c>
      <c r="G242" s="54">
        <f t="shared" si="103"/>
        <v>3379.9000000000001</v>
      </c>
      <c r="H242" s="54">
        <f t="shared" si="103"/>
        <v>344.89999999999998</v>
      </c>
      <c r="I242" s="54">
        <f>106+1135+2000</f>
        <v>3241</v>
      </c>
      <c r="J242" s="54">
        <v>206</v>
      </c>
      <c r="K242" s="54">
        <v>0</v>
      </c>
      <c r="L242" s="54">
        <v>0</v>
      </c>
      <c r="M242" s="54">
        <v>0</v>
      </c>
      <c r="N242" s="54">
        <v>0</v>
      </c>
      <c r="O242" s="54">
        <v>138.90000000000001</v>
      </c>
      <c r="P242" s="54">
        <v>138.90000000000001</v>
      </c>
      <c r="Q242" s="52"/>
      <c r="R242" s="60"/>
      <c r="W242" s="32">
        <f t="shared" si="91"/>
        <v>3035</v>
      </c>
    </row>
    <row r="243" ht="15.75">
      <c r="A243" s="14"/>
      <c r="B243" s="57"/>
      <c r="C243" s="14"/>
      <c r="D243" s="14"/>
      <c r="E243" s="14"/>
      <c r="F243" s="11" t="s">
        <v>31</v>
      </c>
      <c r="G243" s="54">
        <f t="shared" si="103"/>
        <v>3914.8000000000002</v>
      </c>
      <c r="H243" s="54">
        <f t="shared" si="103"/>
        <v>1026.9000000000001</v>
      </c>
      <c r="I243" s="54">
        <f t="shared" ref="I243:I247" si="105">I242</f>
        <v>3241</v>
      </c>
      <c r="J243" s="54">
        <v>353.10000000000002</v>
      </c>
      <c r="K243" s="54">
        <v>0</v>
      </c>
      <c r="L243" s="54">
        <v>0</v>
      </c>
      <c r="M243" s="54">
        <v>0</v>
      </c>
      <c r="N243" s="54">
        <v>0</v>
      </c>
      <c r="O243" s="54">
        <v>673.79999999999995</v>
      </c>
      <c r="P243" s="54">
        <f>O243</f>
        <v>673.79999999999995</v>
      </c>
      <c r="Q243" s="52"/>
      <c r="R243" s="35"/>
      <c r="W243" s="32">
        <f t="shared" si="91"/>
        <v>2887.9000000000001</v>
      </c>
    </row>
    <row r="244" ht="15.75">
      <c r="A244" s="14"/>
      <c r="B244" s="57"/>
      <c r="C244" s="14"/>
      <c r="D244" s="14"/>
      <c r="E244" s="14"/>
      <c r="F244" s="11" t="s">
        <v>32</v>
      </c>
      <c r="G244" s="54">
        <f t="shared" si="103"/>
        <v>3523.4000000000001</v>
      </c>
      <c r="H244" s="54">
        <f t="shared" si="103"/>
        <v>635.5</v>
      </c>
      <c r="I244" s="54">
        <f t="shared" si="105"/>
        <v>3241</v>
      </c>
      <c r="J244" s="54">
        <v>353.10000000000002</v>
      </c>
      <c r="K244" s="54">
        <v>0</v>
      </c>
      <c r="L244" s="54">
        <v>0</v>
      </c>
      <c r="M244" s="54">
        <v>0</v>
      </c>
      <c r="N244" s="54">
        <v>0</v>
      </c>
      <c r="O244" s="54">
        <f>P244</f>
        <v>282.39999999999998</v>
      </c>
      <c r="P244" s="54">
        <v>282.39999999999998</v>
      </c>
      <c r="Q244" s="52"/>
      <c r="R244" s="35"/>
      <c r="W244" s="32">
        <f t="shared" si="91"/>
        <v>2887.9000000000001</v>
      </c>
    </row>
    <row r="245" s="1" customFormat="1">
      <c r="A245" s="14"/>
      <c r="B245" s="57"/>
      <c r="C245" s="14"/>
      <c r="D245" s="14"/>
      <c r="E245" s="14"/>
      <c r="F245" s="11" t="s">
        <v>33</v>
      </c>
      <c r="G245" s="54">
        <f t="shared" si="103"/>
        <v>3241</v>
      </c>
      <c r="H245" s="54">
        <f t="shared" si="103"/>
        <v>353.10000000000002</v>
      </c>
      <c r="I245" s="54">
        <f t="shared" si="105"/>
        <v>3241</v>
      </c>
      <c r="J245" s="54">
        <v>353.10000000000002</v>
      </c>
      <c r="K245" s="54">
        <v>0</v>
      </c>
      <c r="L245" s="54">
        <v>0</v>
      </c>
      <c r="M245" s="54">
        <v>0</v>
      </c>
      <c r="N245" s="54">
        <v>0</v>
      </c>
      <c r="O245" s="54">
        <v>0</v>
      </c>
      <c r="P245" s="54">
        <v>0</v>
      </c>
      <c r="Q245" s="52"/>
      <c r="R245" s="60">
        <f>I245-J245</f>
        <v>2887.9000000000001</v>
      </c>
      <c r="W245" s="32">
        <f t="shared" si="91"/>
        <v>2887.9000000000001</v>
      </c>
      <c r="X245" s="59">
        <f>I245-J245</f>
        <v>2887.9000000000001</v>
      </c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</row>
    <row r="246" s="1" customFormat="1" ht="31.5" customHeight="1">
      <c r="A246" s="14"/>
      <c r="B246" s="57"/>
      <c r="C246" s="14"/>
      <c r="D246" s="14"/>
      <c r="E246" s="14"/>
      <c r="F246" s="11" t="s">
        <v>34</v>
      </c>
      <c r="G246" s="54">
        <f t="shared" si="103"/>
        <v>3241</v>
      </c>
      <c r="H246" s="54">
        <f t="shared" si="103"/>
        <v>353.10000000000002</v>
      </c>
      <c r="I246" s="54">
        <f t="shared" si="105"/>
        <v>3241</v>
      </c>
      <c r="J246" s="54">
        <v>353.10000000000002</v>
      </c>
      <c r="K246" s="54">
        <v>0</v>
      </c>
      <c r="L246" s="54">
        <v>0</v>
      </c>
      <c r="M246" s="54">
        <v>0</v>
      </c>
      <c r="N246" s="54">
        <v>0</v>
      </c>
      <c r="O246" s="54">
        <v>0</v>
      </c>
      <c r="P246" s="54">
        <v>0</v>
      </c>
      <c r="Q246" s="52"/>
      <c r="R246" s="35"/>
      <c r="W246" s="32">
        <f t="shared" si="91"/>
        <v>2887.9000000000001</v>
      </c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</row>
    <row r="247" s="1" customFormat="1">
      <c r="A247" s="16"/>
      <c r="B247" s="57"/>
      <c r="C247" s="16"/>
      <c r="D247" s="16"/>
      <c r="E247" s="16"/>
      <c r="F247" s="11" t="s">
        <v>35</v>
      </c>
      <c r="G247" s="54">
        <f t="shared" si="103"/>
        <v>3241</v>
      </c>
      <c r="H247" s="54">
        <f t="shared" si="103"/>
        <v>353.10000000000002</v>
      </c>
      <c r="I247" s="54">
        <f t="shared" si="105"/>
        <v>3241</v>
      </c>
      <c r="J247" s="54">
        <v>353.10000000000002</v>
      </c>
      <c r="K247" s="54">
        <v>0</v>
      </c>
      <c r="L247" s="54">
        <v>0</v>
      </c>
      <c r="M247" s="54">
        <v>0</v>
      </c>
      <c r="N247" s="54">
        <v>0</v>
      </c>
      <c r="O247" s="54">
        <v>0</v>
      </c>
      <c r="P247" s="54">
        <v>0</v>
      </c>
      <c r="Q247" s="75"/>
      <c r="R247" s="35"/>
      <c r="W247" s="32">
        <f t="shared" si="91"/>
        <v>2887.9000000000001</v>
      </c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</row>
    <row r="248" ht="15.6" customHeight="1">
      <c r="A248" s="22"/>
      <c r="B248" s="50" t="s">
        <v>97</v>
      </c>
      <c r="C248" s="13"/>
      <c r="D248" s="22"/>
      <c r="E248" s="22"/>
      <c r="F248" s="13" t="s">
        <v>22</v>
      </c>
      <c r="G248" s="23">
        <f>SUM(G249:G259)</f>
        <v>2086587.3530000001</v>
      </c>
      <c r="H248" s="23">
        <f t="shared" ref="H248:P248" si="106">SUM(H249:H259)</f>
        <v>1727140.2029999997</v>
      </c>
      <c r="I248" s="23">
        <f>SUM(I249:I259)</f>
        <v>1378470.72</v>
      </c>
      <c r="J248" s="23">
        <f t="shared" si="106"/>
        <v>1179814.0699999998</v>
      </c>
      <c r="K248" s="23">
        <f t="shared" si="106"/>
        <v>938.5</v>
      </c>
      <c r="L248" s="23">
        <f t="shared" si="106"/>
        <v>518.5</v>
      </c>
      <c r="M248" s="23">
        <f t="shared" si="106"/>
        <v>441031.13299999997</v>
      </c>
      <c r="N248" s="23">
        <f>SUM(N249:N259)</f>
        <v>280660.63299999997</v>
      </c>
      <c r="O248" s="23">
        <f t="shared" si="106"/>
        <v>266147</v>
      </c>
      <c r="P248" s="23">
        <f t="shared" si="106"/>
        <v>266147</v>
      </c>
      <c r="Q248" s="99" t="s">
        <v>37</v>
      </c>
      <c r="R248" s="35"/>
      <c r="W248" s="32">
        <f t="shared" si="91"/>
        <v>198656.65000000014</v>
      </c>
    </row>
    <row r="249" s="26" customFormat="1" ht="35.25" customHeight="1">
      <c r="A249" s="28"/>
      <c r="B249" s="50" t="s">
        <v>98</v>
      </c>
      <c r="C249" s="13" t="s">
        <v>44</v>
      </c>
      <c r="D249" s="28"/>
      <c r="E249" s="28"/>
      <c r="F249" s="13" t="s">
        <v>24</v>
      </c>
      <c r="G249" s="23">
        <f t="shared" ref="G249:H259" si="107">I249+K249+M249+O249</f>
        <v>129321.39999999999</v>
      </c>
      <c r="H249" s="23">
        <f t="shared" si="107"/>
        <v>115482.7</v>
      </c>
      <c r="I249" s="23">
        <f t="shared" ref="I249:N249" si="108">I261+I273+I285+I292+I299+I306+I313++I320+I327+I334+I341</f>
        <v>90603.699999999997</v>
      </c>
      <c r="J249" s="23">
        <f t="shared" si="108"/>
        <v>77665</v>
      </c>
      <c r="K249" s="23">
        <f t="shared" si="108"/>
        <v>200</v>
      </c>
      <c r="L249" s="23">
        <f t="shared" si="108"/>
        <v>0</v>
      </c>
      <c r="M249" s="23">
        <f t="shared" si="108"/>
        <v>18264.5</v>
      </c>
      <c r="N249" s="23">
        <f t="shared" si="108"/>
        <v>17564.5</v>
      </c>
      <c r="O249" s="23">
        <f t="shared" ref="O249:O251" si="109">O261+O273+O285+O292+O299+O306+O313+O320+O327+O334+O341</f>
        <v>20253.199999999997</v>
      </c>
      <c r="P249" s="23">
        <f t="shared" ref="P249:P251" si="110">P261+P273+P285+P292+P299+P306+P313++P320+P327+P334+P341</f>
        <v>20253.199999999997</v>
      </c>
      <c r="Q249" s="99"/>
      <c r="R249" s="35"/>
      <c r="W249" s="32">
        <f t="shared" si="91"/>
        <v>12938.699999999997</v>
      </c>
      <c r="GB249" s="26"/>
      <c r="GC249" s="26"/>
      <c r="GD249" s="26"/>
      <c r="GE249" s="26"/>
      <c r="GF249" s="26"/>
      <c r="GG249" s="26"/>
      <c r="GH249" s="26"/>
      <c r="GI249" s="26"/>
      <c r="GJ249" s="26"/>
      <c r="GK249" s="26"/>
      <c r="GL249" s="26"/>
      <c r="GM249" s="26"/>
      <c r="GN249" s="26"/>
      <c r="GO249" s="26"/>
      <c r="GP249" s="26"/>
      <c r="GQ249" s="26"/>
      <c r="GR249" s="26"/>
      <c r="GS249" s="26"/>
      <c r="GT249" s="26"/>
      <c r="GU249" s="26"/>
      <c r="GV249" s="26"/>
      <c r="GW249" s="26"/>
      <c r="GX249" s="26"/>
      <c r="GY249" s="26"/>
      <c r="GZ249" s="26"/>
      <c r="HA249" s="26"/>
      <c r="HB249" s="26"/>
      <c r="HC249" s="26"/>
      <c r="HD249" s="26"/>
      <c r="HE249" s="26"/>
      <c r="HF249" s="26"/>
      <c r="HG249" s="26"/>
      <c r="HH249" s="26"/>
    </row>
    <row r="250" s="26" customFormat="1" ht="15.75" customHeight="1">
      <c r="A250" s="28"/>
      <c r="B250" s="50"/>
      <c r="C250" s="22" t="s">
        <v>99</v>
      </c>
      <c r="D250" s="28"/>
      <c r="E250" s="28"/>
      <c r="F250" s="13" t="s">
        <v>26</v>
      </c>
      <c r="G250" s="23">
        <f t="shared" si="107"/>
        <v>128655.36999999998</v>
      </c>
      <c r="H250" s="23">
        <f t="shared" si="107"/>
        <v>122789.84</v>
      </c>
      <c r="I250" s="23">
        <f>I262+I274+I342</f>
        <v>85805.569999999978</v>
      </c>
      <c r="J250" s="23">
        <f>J262+J274+J342</f>
        <v>80980.039999999994</v>
      </c>
      <c r="K250" s="23">
        <f t="shared" ref="K250:N251" si="111">K262+K274+K286+K293+K300+K307+K314++K321+K328+K335+K342</f>
        <v>220</v>
      </c>
      <c r="L250" s="23">
        <f t="shared" si="111"/>
        <v>0</v>
      </c>
      <c r="M250" s="23">
        <f t="shared" si="111"/>
        <v>17618</v>
      </c>
      <c r="N250" s="23">
        <f t="shared" si="111"/>
        <v>16798</v>
      </c>
      <c r="O250" s="23">
        <f t="shared" si="109"/>
        <v>25011.799999999999</v>
      </c>
      <c r="P250" s="23">
        <f t="shared" si="110"/>
        <v>25011.799999999999</v>
      </c>
      <c r="Q250" s="99"/>
      <c r="R250" s="35"/>
      <c r="W250" s="32">
        <f t="shared" si="91"/>
        <v>4825.5299999999843</v>
      </c>
      <c r="GB250" s="26"/>
      <c r="GC250" s="26"/>
      <c r="GD250" s="26"/>
      <c r="GE250" s="26"/>
      <c r="GF250" s="26"/>
      <c r="GG250" s="26"/>
      <c r="GH250" s="26"/>
      <c r="GI250" s="26"/>
      <c r="GJ250" s="26"/>
      <c r="GK250" s="26"/>
      <c r="GL250" s="26"/>
      <c r="GM250" s="26"/>
      <c r="GN250" s="26"/>
      <c r="GO250" s="26"/>
      <c r="GP250" s="26"/>
      <c r="GQ250" s="26"/>
      <c r="GR250" s="26"/>
      <c r="GS250" s="26"/>
      <c r="GT250" s="26"/>
      <c r="GU250" s="26"/>
      <c r="GV250" s="26"/>
      <c r="GW250" s="26"/>
      <c r="GX250" s="26"/>
      <c r="GY250" s="26"/>
      <c r="GZ250" s="26"/>
      <c r="HA250" s="26"/>
      <c r="HB250" s="26"/>
      <c r="HC250" s="26"/>
      <c r="HD250" s="26"/>
      <c r="HE250" s="26"/>
      <c r="HF250" s="26"/>
      <c r="HG250" s="26"/>
      <c r="HH250" s="26"/>
    </row>
    <row r="251" s="26" customFormat="1" ht="15.6" customHeight="1">
      <c r="A251" s="28"/>
      <c r="B251" s="50"/>
      <c r="C251" s="28"/>
      <c r="D251" s="28"/>
      <c r="E251" s="28"/>
      <c r="F251" s="13" t="s">
        <v>27</v>
      </c>
      <c r="G251" s="23">
        <f t="shared" si="107"/>
        <v>151718.633</v>
      </c>
      <c r="H251" s="23">
        <f t="shared" si="107"/>
        <v>150033.633</v>
      </c>
      <c r="I251" s="23">
        <f>I263+I275+I287+I294+I301+I308+I315++I322+I329+I336+I343</f>
        <v>90037.800000000003</v>
      </c>
      <c r="J251" s="23">
        <f>J263+J275+J287+J294+J301+J308+J315++J322+J329+J336+J343</f>
        <v>88352.800000000003</v>
      </c>
      <c r="K251" s="23">
        <f t="shared" si="111"/>
        <v>0</v>
      </c>
      <c r="L251" s="23">
        <f t="shared" si="111"/>
        <v>0</v>
      </c>
      <c r="M251" s="23">
        <f t="shared" si="111"/>
        <v>31832.332999999999</v>
      </c>
      <c r="N251" s="23">
        <f t="shared" si="111"/>
        <v>31832.332999999999</v>
      </c>
      <c r="O251" s="23">
        <f t="shared" si="109"/>
        <v>29848.5</v>
      </c>
      <c r="P251" s="23">
        <f t="shared" si="110"/>
        <v>29848.5</v>
      </c>
      <c r="Q251" s="99"/>
      <c r="R251" s="35"/>
      <c r="S251" s="100" t="s">
        <v>98</v>
      </c>
      <c r="T251" s="101"/>
      <c r="W251" s="32">
        <f t="shared" si="91"/>
        <v>1685</v>
      </c>
      <c r="Z251" s="37"/>
      <c r="GB251" s="26"/>
      <c r="GC251" s="26"/>
      <c r="GD251" s="26"/>
      <c r="GE251" s="26"/>
      <c r="GF251" s="26"/>
      <c r="GG251" s="26"/>
      <c r="GH251" s="26"/>
      <c r="GI251" s="26"/>
      <c r="GJ251" s="26"/>
      <c r="GK251" s="26"/>
      <c r="GL251" s="26"/>
      <c r="GM251" s="26"/>
      <c r="GN251" s="26"/>
      <c r="GO251" s="26"/>
      <c r="GP251" s="26"/>
      <c r="GQ251" s="26"/>
      <c r="GR251" s="26"/>
      <c r="GS251" s="26"/>
      <c r="GT251" s="26"/>
      <c r="GU251" s="26"/>
      <c r="GV251" s="26"/>
      <c r="GW251" s="26"/>
      <c r="GX251" s="26"/>
      <c r="GY251" s="26"/>
      <c r="GZ251" s="26"/>
      <c r="HA251" s="26"/>
      <c r="HB251" s="26"/>
      <c r="HC251" s="26"/>
      <c r="HD251" s="26"/>
      <c r="HE251" s="26"/>
      <c r="HF251" s="26"/>
      <c r="HG251" s="26"/>
      <c r="HH251" s="26"/>
    </row>
    <row r="252" s="26" customFormat="1">
      <c r="A252" s="28"/>
      <c r="B252" s="50"/>
      <c r="C252" s="28"/>
      <c r="D252" s="28"/>
      <c r="E252" s="28"/>
      <c r="F252" s="13" t="s">
        <v>28</v>
      </c>
      <c r="G252" s="23">
        <f t="shared" si="107"/>
        <v>174847.60000000001</v>
      </c>
      <c r="H252" s="23">
        <f t="shared" si="107"/>
        <v>168847.70000000001</v>
      </c>
      <c r="I252" s="23">
        <f t="shared" ref="I252:P254" si="112">I264+I276+I288+I295+I302+I309+I316++I323+I330+I337+I344+I356+I368+I380+I392</f>
        <v>100329.60000000002</v>
      </c>
      <c r="J252" s="23">
        <f t="shared" ref="J252:P253" si="113">J264+J276+J288+J295+J302+J309+J316++J323+J330+J337+J344+J356+J368+J380+J392</f>
        <v>94329.700000000012</v>
      </c>
      <c r="K252" s="23">
        <f t="shared" si="113"/>
        <v>518.5</v>
      </c>
      <c r="L252" s="23">
        <f t="shared" si="113"/>
        <v>518.5</v>
      </c>
      <c r="M252" s="23">
        <f t="shared" si="113"/>
        <v>46076.599999999999</v>
      </c>
      <c r="N252" s="23">
        <f t="shared" si="113"/>
        <v>46076.599999999999</v>
      </c>
      <c r="O252" s="23">
        <f t="shared" si="113"/>
        <v>27922.900000000001</v>
      </c>
      <c r="P252" s="23">
        <f t="shared" si="113"/>
        <v>27922.900000000001</v>
      </c>
      <c r="Q252" s="99"/>
      <c r="R252" s="35"/>
      <c r="S252" s="102"/>
      <c r="T252" s="103"/>
      <c r="W252" s="32">
        <f t="shared" si="91"/>
        <v>5999.9000000000087</v>
      </c>
      <c r="GB252" s="26"/>
      <c r="GC252" s="26"/>
      <c r="GD252" s="26"/>
      <c r="GE252" s="26"/>
      <c r="GF252" s="26"/>
      <c r="GG252" s="26"/>
      <c r="GH252" s="26"/>
      <c r="GI252" s="26"/>
      <c r="GJ252" s="26"/>
      <c r="GK252" s="26"/>
      <c r="GL252" s="26"/>
      <c r="GM252" s="26"/>
      <c r="GN252" s="26"/>
      <c r="GO252" s="26"/>
      <c r="GP252" s="26"/>
      <c r="GQ252" s="26"/>
      <c r="GR252" s="26"/>
      <c r="GS252" s="26"/>
      <c r="GT252" s="26"/>
      <c r="GU252" s="26"/>
      <c r="GV252" s="26"/>
      <c r="GW252" s="26"/>
      <c r="GX252" s="26"/>
      <c r="GY252" s="26"/>
      <c r="GZ252" s="26"/>
      <c r="HA252" s="26"/>
      <c r="HB252" s="26"/>
      <c r="HC252" s="26"/>
      <c r="HD252" s="26"/>
      <c r="HE252" s="26"/>
      <c r="HF252" s="26"/>
      <c r="HG252" s="26"/>
      <c r="HH252" s="26"/>
    </row>
    <row r="253" s="26" customFormat="1" ht="15" customHeight="1">
      <c r="A253" s="28"/>
      <c r="B253" s="50"/>
      <c r="C253" s="28"/>
      <c r="D253" s="28"/>
      <c r="E253" s="28"/>
      <c r="F253" s="13" t="s">
        <v>29</v>
      </c>
      <c r="G253" s="23">
        <f t="shared" si="107"/>
        <v>180235.5</v>
      </c>
      <c r="H253" s="23">
        <f t="shared" si="107"/>
        <v>180235.5</v>
      </c>
      <c r="I253" s="23">
        <f t="shared" si="112"/>
        <v>102003.2</v>
      </c>
      <c r="J253" s="23">
        <f t="shared" si="113"/>
        <v>102003.2</v>
      </c>
      <c r="K253" s="23">
        <f t="shared" si="112"/>
        <v>0</v>
      </c>
      <c r="L253" s="23">
        <f t="shared" si="112"/>
        <v>0</v>
      </c>
      <c r="M253" s="23">
        <f t="shared" si="112"/>
        <v>47222.699999999997</v>
      </c>
      <c r="N253" s="23">
        <f t="shared" si="112"/>
        <v>47222.699999999997</v>
      </c>
      <c r="O253" s="23">
        <f t="shared" si="112"/>
        <v>31009.600000000002</v>
      </c>
      <c r="P253" s="23">
        <f t="shared" si="112"/>
        <v>31009.600000000002</v>
      </c>
      <c r="Q253" s="99"/>
      <c r="R253" s="60"/>
      <c r="S253" s="104"/>
      <c r="T253" s="105"/>
      <c r="W253" s="32">
        <f t="shared" si="91"/>
        <v>0</v>
      </c>
      <c r="GB253" s="26"/>
      <c r="GC253" s="26"/>
      <c r="GD253" s="26"/>
      <c r="GE253" s="26"/>
      <c r="GF253" s="26"/>
      <c r="GG253" s="26"/>
      <c r="GH253" s="26"/>
      <c r="GI253" s="26"/>
      <c r="GJ253" s="26"/>
      <c r="GK253" s="26"/>
      <c r="GL253" s="26"/>
      <c r="GM253" s="26"/>
      <c r="GN253" s="26"/>
      <c r="GO253" s="26"/>
      <c r="GP253" s="26"/>
      <c r="GQ253" s="26"/>
      <c r="GR253" s="26"/>
      <c r="GS253" s="26"/>
      <c r="GT253" s="26"/>
      <c r="GU253" s="26"/>
      <c r="GV253" s="26"/>
      <c r="GW253" s="26"/>
      <c r="GX253" s="26"/>
      <c r="GY253" s="26"/>
      <c r="GZ253" s="26"/>
      <c r="HA253" s="26"/>
      <c r="HB253" s="26"/>
      <c r="HC253" s="26"/>
      <c r="HD253" s="26"/>
      <c r="HE253" s="26"/>
      <c r="HF253" s="26"/>
      <c r="HG253" s="26"/>
      <c r="HH253" s="26"/>
    </row>
    <row r="254" s="26" customFormat="1">
      <c r="A254" s="28"/>
      <c r="B254" s="50"/>
      <c r="C254" s="28"/>
      <c r="D254" s="28"/>
      <c r="E254" s="28"/>
      <c r="F254" s="13" t="s">
        <v>30</v>
      </c>
      <c r="G254" s="23">
        <f t="shared" si="107"/>
        <v>187644.75</v>
      </c>
      <c r="H254" s="23">
        <f t="shared" si="107"/>
        <v>155841.29000000001</v>
      </c>
      <c r="I254" s="23">
        <f t="shared" si="112"/>
        <v>121123.75</v>
      </c>
      <c r="J254" s="23">
        <f t="shared" si="112"/>
        <v>101315.19</v>
      </c>
      <c r="K254" s="23">
        <f t="shared" si="112"/>
        <v>0</v>
      </c>
      <c r="L254" s="23">
        <f t="shared" si="112"/>
        <v>0</v>
      </c>
      <c r="M254" s="23">
        <f t="shared" si="112"/>
        <v>46669.5</v>
      </c>
      <c r="N254" s="23">
        <f t="shared" si="112"/>
        <v>34674.599999999999</v>
      </c>
      <c r="O254" s="23">
        <f t="shared" si="112"/>
        <v>19851.5</v>
      </c>
      <c r="P254" s="23">
        <f t="shared" si="112"/>
        <v>19851.5</v>
      </c>
      <c r="Q254" s="99"/>
      <c r="R254" s="60"/>
      <c r="S254" s="106">
        <f t="shared" ref="S254:S259" si="114">H254/G254*100</f>
        <v>83.051239110073695</v>
      </c>
      <c r="T254" s="13" t="s">
        <v>30</v>
      </c>
      <c r="W254" s="32">
        <f t="shared" ref="W254:W317" si="115">I254-J254</f>
        <v>19808.559999999998</v>
      </c>
      <c r="Y254" s="32"/>
      <c r="Z254" s="79"/>
      <c r="AA254" s="79"/>
      <c r="GB254" s="26"/>
      <c r="GC254" s="26"/>
      <c r="GD254" s="26"/>
      <c r="GE254" s="26"/>
      <c r="GF254" s="26"/>
      <c r="GG254" s="26"/>
      <c r="GH254" s="26"/>
      <c r="GI254" s="26"/>
      <c r="GJ254" s="26"/>
      <c r="GK254" s="26"/>
      <c r="GL254" s="26"/>
      <c r="GM254" s="26"/>
      <c r="GN254" s="26"/>
      <c r="GO254" s="26"/>
      <c r="GP254" s="26"/>
      <c r="GQ254" s="26"/>
      <c r="GR254" s="26"/>
      <c r="GS254" s="26"/>
      <c r="GT254" s="26"/>
      <c r="GU254" s="26"/>
      <c r="GV254" s="26"/>
      <c r="GW254" s="26"/>
      <c r="GX254" s="26"/>
      <c r="GY254" s="26"/>
      <c r="GZ254" s="26"/>
      <c r="HA254" s="26"/>
      <c r="HB254" s="26"/>
      <c r="HC254" s="26"/>
      <c r="HD254" s="26"/>
      <c r="HE254" s="26"/>
      <c r="HF254" s="26"/>
      <c r="HG254" s="26"/>
      <c r="HH254" s="26"/>
    </row>
    <row r="255" s="26" customFormat="1">
      <c r="A255" s="28"/>
      <c r="B255" s="50"/>
      <c r="C255" s="28"/>
      <c r="D255" s="28"/>
      <c r="E255" s="28"/>
      <c r="F255" s="13" t="s">
        <v>31</v>
      </c>
      <c r="G255" s="23">
        <f t="shared" si="107"/>
        <v>210285</v>
      </c>
      <c r="H255" s="23">
        <f t="shared" si="107"/>
        <v>187323.70000000001</v>
      </c>
      <c r="I255" s="23">
        <f t="shared" ref="I255:P259" si="116">I267+I279+I347+I359+I371+I383+I395</f>
        <v>137486.5</v>
      </c>
      <c r="J255" s="23">
        <f t="shared" ref="J255:P255" si="117">J267+J279+J347+J359+J371+J383+J395</f>
        <v>122597.40000000001</v>
      </c>
      <c r="K255" s="23">
        <f t="shared" si="117"/>
        <v>0</v>
      </c>
      <c r="L255" s="23">
        <f t="shared" si="117"/>
        <v>0</v>
      </c>
      <c r="M255" s="23">
        <f t="shared" si="117"/>
        <v>46669.5</v>
      </c>
      <c r="N255" s="23">
        <f t="shared" si="117"/>
        <v>38597.300000000003</v>
      </c>
      <c r="O255" s="23">
        <f t="shared" si="117"/>
        <v>26129</v>
      </c>
      <c r="P255" s="23">
        <f t="shared" si="117"/>
        <v>26129</v>
      </c>
      <c r="Q255" s="99"/>
      <c r="R255" s="60"/>
      <c r="S255" s="106">
        <f t="shared" si="114"/>
        <v>89.080866443160474</v>
      </c>
      <c r="T255" s="13" t="s">
        <v>31</v>
      </c>
      <c r="W255" s="32">
        <f t="shared" si="115"/>
        <v>14889.099999999991</v>
      </c>
      <c r="Z255" s="79"/>
      <c r="AA255" s="79"/>
      <c r="GB255" s="26"/>
      <c r="GC255" s="26"/>
      <c r="GD255" s="26"/>
      <c r="GE255" s="26"/>
      <c r="GF255" s="26"/>
      <c r="GG255" s="26"/>
      <c r="GH255" s="26"/>
      <c r="GI255" s="26"/>
      <c r="GJ255" s="26"/>
      <c r="GK255" s="26"/>
      <c r="GL255" s="26"/>
      <c r="GM255" s="26"/>
      <c r="GN255" s="26"/>
      <c r="GO255" s="26"/>
      <c r="GP255" s="26"/>
      <c r="GQ255" s="26"/>
      <c r="GR255" s="26"/>
      <c r="GS255" s="26"/>
      <c r="GT255" s="26"/>
      <c r="GU255" s="26"/>
      <c r="GV255" s="26"/>
      <c r="GW255" s="26"/>
      <c r="GX255" s="26"/>
      <c r="GY255" s="26"/>
      <c r="GZ255" s="26"/>
      <c r="HA255" s="26"/>
      <c r="HB255" s="26"/>
      <c r="HC255" s="26"/>
      <c r="HD255" s="26"/>
      <c r="HE255" s="26"/>
      <c r="HF255" s="26"/>
      <c r="HG255" s="26"/>
      <c r="HH255" s="26"/>
    </row>
    <row r="256" s="26" customFormat="1">
      <c r="A256" s="28"/>
      <c r="B256" s="50"/>
      <c r="C256" s="28"/>
      <c r="D256" s="28"/>
      <c r="E256" s="28"/>
      <c r="F256" s="13" t="s">
        <v>32</v>
      </c>
      <c r="G256" s="23">
        <f t="shared" si="107"/>
        <v>215190.20000000004</v>
      </c>
      <c r="H256" s="23">
        <f t="shared" si="107"/>
        <v>206711.50000000003</v>
      </c>
      <c r="I256" s="23">
        <f t="shared" si="116"/>
        <v>147043.10000000003</v>
      </c>
      <c r="J256" s="23">
        <f t="shared" si="116"/>
        <v>141539.30000000002</v>
      </c>
      <c r="K256" s="23">
        <f t="shared" si="116"/>
        <v>0</v>
      </c>
      <c r="L256" s="23">
        <f t="shared" si="116"/>
        <v>0</v>
      </c>
      <c r="M256" s="23">
        <f t="shared" si="116"/>
        <v>46669.5</v>
      </c>
      <c r="N256" s="23">
        <f t="shared" si="116"/>
        <v>43694.599999999999</v>
      </c>
      <c r="O256" s="23">
        <f t="shared" si="116"/>
        <v>21477.599999999999</v>
      </c>
      <c r="P256" s="23">
        <f t="shared" si="116"/>
        <v>21477.599999999999</v>
      </c>
      <c r="Q256" s="99"/>
      <c r="R256" s="60"/>
      <c r="S256" s="106">
        <f t="shared" si="114"/>
        <v>96.059904214968896</v>
      </c>
      <c r="T256" s="13" t="s">
        <v>32</v>
      </c>
      <c r="W256" s="32">
        <f t="shared" si="115"/>
        <v>5503.8000000000175</v>
      </c>
      <c r="Z256" s="79"/>
      <c r="AA256" s="79"/>
      <c r="GB256" s="26"/>
      <c r="GC256" s="26"/>
      <c r="GD256" s="26"/>
      <c r="GE256" s="26"/>
      <c r="GF256" s="26"/>
      <c r="GG256" s="26"/>
      <c r="GH256" s="26"/>
      <c r="GI256" s="26"/>
      <c r="GJ256" s="26"/>
      <c r="GK256" s="26"/>
      <c r="GL256" s="26"/>
      <c r="GM256" s="26"/>
      <c r="GN256" s="26"/>
      <c r="GO256" s="26"/>
      <c r="GP256" s="26"/>
      <c r="GQ256" s="26"/>
      <c r="GR256" s="26"/>
      <c r="GS256" s="26"/>
      <c r="GT256" s="26"/>
      <c r="GU256" s="26"/>
      <c r="GV256" s="26"/>
      <c r="GW256" s="26"/>
      <c r="GX256" s="26"/>
      <c r="GY256" s="26"/>
      <c r="GZ256" s="26"/>
      <c r="HA256" s="26"/>
      <c r="HB256" s="26"/>
      <c r="HC256" s="26"/>
      <c r="HD256" s="26"/>
      <c r="HE256" s="26"/>
      <c r="HF256" s="26"/>
      <c r="HG256" s="26"/>
      <c r="HH256" s="26"/>
    </row>
    <row r="257" s="26" customFormat="1">
      <c r="A257" s="28"/>
      <c r="B257" s="50"/>
      <c r="C257" s="28"/>
      <c r="D257" s="28"/>
      <c r="E257" s="28"/>
      <c r="F257" s="13" t="s">
        <v>33</v>
      </c>
      <c r="G257" s="23">
        <f t="shared" si="107"/>
        <v>236587.29999999999</v>
      </c>
      <c r="H257" s="23">
        <f t="shared" si="107"/>
        <v>147492.94</v>
      </c>
      <c r="I257" s="23">
        <f t="shared" si="116"/>
        <v>168012.5</v>
      </c>
      <c r="J257" s="23">
        <f t="shared" si="116"/>
        <v>123487.64</v>
      </c>
      <c r="K257" s="23">
        <f t="shared" si="116"/>
        <v>0</v>
      </c>
      <c r="L257" s="23">
        <f t="shared" si="116"/>
        <v>0</v>
      </c>
      <c r="M257" s="23">
        <f t="shared" si="116"/>
        <v>46669.5</v>
      </c>
      <c r="N257" s="23">
        <f t="shared" si="116"/>
        <v>2100</v>
      </c>
      <c r="O257" s="23">
        <f t="shared" si="116"/>
        <v>21905.299999999999</v>
      </c>
      <c r="P257" s="23">
        <f t="shared" si="116"/>
        <v>21905.299999999999</v>
      </c>
      <c r="Q257" s="99"/>
      <c r="R257" s="35"/>
      <c r="S257" s="106">
        <f t="shared" si="114"/>
        <v>62.341867040200384</v>
      </c>
      <c r="T257" s="13" t="s">
        <v>33</v>
      </c>
      <c r="W257" s="32">
        <f t="shared" si="115"/>
        <v>44524.860000000001</v>
      </c>
      <c r="Z257" s="79"/>
      <c r="AA257" s="79"/>
      <c r="GB257" s="26"/>
      <c r="GC257" s="26"/>
      <c r="GD257" s="26"/>
      <c r="GE257" s="26"/>
      <c r="GF257" s="26"/>
      <c r="GG257" s="26"/>
      <c r="GH257" s="26"/>
      <c r="GI257" s="26"/>
      <c r="GJ257" s="26"/>
      <c r="GK257" s="26"/>
      <c r="GL257" s="26"/>
      <c r="GM257" s="26"/>
      <c r="GN257" s="26"/>
      <c r="GO257" s="26"/>
      <c r="GP257" s="26"/>
      <c r="GQ257" s="26"/>
      <c r="GR257" s="26"/>
      <c r="GS257" s="26"/>
      <c r="GT257" s="26"/>
      <c r="GU257" s="26"/>
      <c r="GV257" s="26"/>
      <c r="GW257" s="26"/>
      <c r="GX257" s="26"/>
      <c r="GY257" s="26"/>
      <c r="GZ257" s="26"/>
      <c r="HA257" s="26"/>
      <c r="HB257" s="26"/>
      <c r="HC257" s="26"/>
      <c r="HD257" s="26"/>
      <c r="HE257" s="26"/>
      <c r="HF257" s="26"/>
      <c r="HG257" s="26"/>
      <c r="HH257" s="26"/>
    </row>
    <row r="258" s="26" customFormat="1">
      <c r="A258" s="28"/>
      <c r="B258" s="50"/>
      <c r="C258" s="28"/>
      <c r="D258" s="28"/>
      <c r="E258" s="28"/>
      <c r="F258" s="13" t="s">
        <v>34</v>
      </c>
      <c r="G258" s="23">
        <f t="shared" si="107"/>
        <v>236050.79999999999</v>
      </c>
      <c r="H258" s="23">
        <f t="shared" si="107"/>
        <v>147240.70000000001</v>
      </c>
      <c r="I258" s="23">
        <f t="shared" si="116"/>
        <v>168012.5</v>
      </c>
      <c r="J258" s="23">
        <f t="shared" si="116"/>
        <v>123771.90000000001</v>
      </c>
      <c r="K258" s="23">
        <f t="shared" si="116"/>
        <v>0</v>
      </c>
      <c r="L258" s="23">
        <f t="shared" si="116"/>
        <v>0</v>
      </c>
      <c r="M258" s="23">
        <f t="shared" si="116"/>
        <v>46669.5</v>
      </c>
      <c r="N258" s="23">
        <f t="shared" si="116"/>
        <v>2100</v>
      </c>
      <c r="O258" s="23">
        <f t="shared" si="116"/>
        <v>21368.799999999999</v>
      </c>
      <c r="P258" s="23">
        <f t="shared" si="116"/>
        <v>21368.799999999999</v>
      </c>
      <c r="Q258" s="99"/>
      <c r="R258" s="35"/>
      <c r="S258" s="106">
        <f t="shared" si="114"/>
        <v>62.376700269602992</v>
      </c>
      <c r="T258" s="13" t="s">
        <v>34</v>
      </c>
      <c r="W258" s="32">
        <f t="shared" si="115"/>
        <v>44240.599999999991</v>
      </c>
      <c r="Z258" s="79"/>
      <c r="AA258" s="79"/>
      <c r="GB258" s="26"/>
      <c r="GC258" s="26"/>
      <c r="GD258" s="26"/>
      <c r="GE258" s="26"/>
      <c r="GF258" s="26"/>
      <c r="GG258" s="26"/>
      <c r="GH258" s="26"/>
      <c r="GI258" s="26"/>
      <c r="GJ258" s="26"/>
      <c r="GK258" s="26"/>
      <c r="GL258" s="26"/>
      <c r="GM258" s="26"/>
      <c r="GN258" s="26"/>
      <c r="GO258" s="26"/>
      <c r="GP258" s="26"/>
      <c r="GQ258" s="26"/>
      <c r="GR258" s="26"/>
      <c r="GS258" s="26"/>
      <c r="GT258" s="26"/>
      <c r="GU258" s="26"/>
      <c r="GV258" s="26"/>
      <c r="GW258" s="26"/>
      <c r="GX258" s="26"/>
      <c r="GY258" s="26"/>
      <c r="GZ258" s="26"/>
      <c r="HA258" s="26"/>
      <c r="HB258" s="26"/>
      <c r="HC258" s="26"/>
      <c r="HD258" s="26"/>
      <c r="HE258" s="26"/>
      <c r="HF258" s="26"/>
      <c r="HG258" s="26"/>
      <c r="HH258" s="26"/>
    </row>
    <row r="259" s="26" customFormat="1">
      <c r="A259" s="28"/>
      <c r="B259" s="50"/>
      <c r="C259" s="41"/>
      <c r="D259" s="41"/>
      <c r="E259" s="41"/>
      <c r="F259" s="13" t="s">
        <v>35</v>
      </c>
      <c r="G259" s="23">
        <f t="shared" si="107"/>
        <v>236050.79999999999</v>
      </c>
      <c r="H259" s="23">
        <f t="shared" si="107"/>
        <v>145140.70000000001</v>
      </c>
      <c r="I259" s="23">
        <f t="shared" si="116"/>
        <v>168012.5</v>
      </c>
      <c r="J259" s="23">
        <f t="shared" si="116"/>
        <v>123771.90000000001</v>
      </c>
      <c r="K259" s="23">
        <f t="shared" si="116"/>
        <v>0</v>
      </c>
      <c r="L259" s="23">
        <f t="shared" si="116"/>
        <v>0</v>
      </c>
      <c r="M259" s="23">
        <f t="shared" si="116"/>
        <v>46669.5</v>
      </c>
      <c r="N259" s="23">
        <f t="shared" si="116"/>
        <v>0</v>
      </c>
      <c r="O259" s="23">
        <f t="shared" si="116"/>
        <v>21368.799999999999</v>
      </c>
      <c r="P259" s="23">
        <f t="shared" si="116"/>
        <v>21368.799999999999</v>
      </c>
      <c r="Q259" s="99"/>
      <c r="R259" s="35"/>
      <c r="S259" s="106">
        <f t="shared" si="114"/>
        <v>61.487061259694954</v>
      </c>
      <c r="T259" s="13" t="s">
        <v>35</v>
      </c>
      <c r="W259" s="32">
        <f t="shared" si="115"/>
        <v>44240.599999999991</v>
      </c>
      <c r="Z259" s="79"/>
      <c r="AA259" s="79"/>
      <c r="GB259" s="26"/>
      <c r="GC259" s="26"/>
      <c r="GD259" s="26"/>
      <c r="GE259" s="26"/>
      <c r="GF259" s="26"/>
      <c r="GG259" s="26"/>
      <c r="GH259" s="26"/>
      <c r="GI259" s="26"/>
      <c r="GJ259" s="26"/>
      <c r="GK259" s="26"/>
      <c r="GL259" s="26"/>
      <c r="GM259" s="26"/>
      <c r="GN259" s="26"/>
      <c r="GO259" s="26"/>
      <c r="GP259" s="26"/>
      <c r="GQ259" s="26"/>
      <c r="GR259" s="26"/>
      <c r="GS259" s="26"/>
      <c r="GT259" s="26"/>
      <c r="GU259" s="26"/>
      <c r="GV259" s="26"/>
      <c r="GW259" s="26"/>
      <c r="GX259" s="26"/>
      <c r="GY259" s="26"/>
      <c r="GZ259" s="26"/>
      <c r="HA259" s="26"/>
      <c r="HB259" s="26"/>
      <c r="HC259" s="26"/>
      <c r="HD259" s="26"/>
      <c r="HE259" s="26"/>
      <c r="HF259" s="26"/>
      <c r="HG259" s="26"/>
      <c r="HH259" s="26"/>
    </row>
    <row r="260" s="26" customFormat="1" ht="15.75" customHeight="1">
      <c r="A260" s="28"/>
      <c r="B260" s="73" t="s">
        <v>100</v>
      </c>
      <c r="C260" s="72"/>
      <c r="D260" s="12" t="s">
        <v>48</v>
      </c>
      <c r="E260" s="12" t="s">
        <v>94</v>
      </c>
      <c r="F260" s="11" t="s">
        <v>22</v>
      </c>
      <c r="G260" s="54">
        <f>SUM(G261:G271)</f>
        <v>1968618.3029999998</v>
      </c>
      <c r="H260" s="54">
        <f t="shared" ref="H260:P260" si="118">SUM(H261:H271)</f>
        <v>1636969.6529999999</v>
      </c>
      <c r="I260" s="54">
        <f t="shared" si="118"/>
        <v>1261807.47</v>
      </c>
      <c r="J260" s="54">
        <f t="shared" si="118"/>
        <v>1090049.3200000001</v>
      </c>
      <c r="K260" s="54">
        <f t="shared" si="118"/>
        <v>738.5</v>
      </c>
      <c r="L260" s="54">
        <f t="shared" si="118"/>
        <v>518.5</v>
      </c>
      <c r="M260" s="54">
        <f t="shared" si="118"/>
        <v>440331.13299999997</v>
      </c>
      <c r="N260" s="54">
        <f>SUM(N261:N271)</f>
        <v>280660.63299999997</v>
      </c>
      <c r="O260" s="54">
        <f t="shared" si="118"/>
        <v>265741.20000000001</v>
      </c>
      <c r="P260" s="54">
        <f t="shared" si="118"/>
        <v>265741.20000000001</v>
      </c>
      <c r="Q260" s="99"/>
      <c r="R260" s="35"/>
      <c r="W260" s="32">
        <f t="shared" si="115"/>
        <v>171758.14999999991</v>
      </c>
      <c r="AA260" s="79"/>
      <c r="GB260" s="26"/>
      <c r="GC260" s="26"/>
      <c r="GD260" s="26"/>
      <c r="GE260" s="26"/>
      <c r="GF260" s="26"/>
      <c r="GG260" s="26"/>
      <c r="GH260" s="26"/>
      <c r="GI260" s="26"/>
      <c r="GJ260" s="26"/>
      <c r="GK260" s="26"/>
      <c r="GL260" s="26"/>
      <c r="GM260" s="26"/>
      <c r="GN260" s="26"/>
      <c r="GO260" s="26"/>
      <c r="GP260" s="26"/>
      <c r="GQ260" s="26"/>
      <c r="GR260" s="26"/>
      <c r="GS260" s="26"/>
      <c r="GT260" s="26"/>
      <c r="GU260" s="26"/>
      <c r="GV260" s="26"/>
      <c r="GW260" s="26"/>
      <c r="GX260" s="26"/>
      <c r="GY260" s="26"/>
      <c r="GZ260" s="26"/>
      <c r="HA260" s="26"/>
      <c r="HB260" s="26"/>
      <c r="HC260" s="26"/>
      <c r="HD260" s="26"/>
      <c r="HE260" s="26"/>
      <c r="HF260" s="26"/>
      <c r="HG260" s="26"/>
      <c r="HH260" s="26"/>
    </row>
    <row r="261" s="8" customFormat="1" ht="54.75" customHeight="1">
      <c r="A261" s="28"/>
      <c r="B261" s="73"/>
      <c r="C261" s="11" t="s">
        <v>66</v>
      </c>
      <c r="D261" s="14"/>
      <c r="E261" s="14"/>
      <c r="F261" s="11" t="s">
        <v>24</v>
      </c>
      <c r="G261" s="54">
        <f t="shared" ref="G261:H271" si="119">I261+K261+M261+O261</f>
        <v>114532.09999999998</v>
      </c>
      <c r="H261" s="54">
        <f t="shared" si="119"/>
        <v>111157.5</v>
      </c>
      <c r="I261" s="54">
        <f>8503.5+J261-559.79999999999995-4514.1000000000004-10-45</f>
        <v>77092.999999999985</v>
      </c>
      <c r="J261" s="54">
        <v>73718.399999999994</v>
      </c>
      <c r="K261" s="54">
        <v>0</v>
      </c>
      <c r="L261" s="54">
        <v>0</v>
      </c>
      <c r="M261" s="54">
        <f>N261</f>
        <v>17564.5</v>
      </c>
      <c r="N261" s="54">
        <v>17564.5</v>
      </c>
      <c r="O261" s="54">
        <v>19874.599999999999</v>
      </c>
      <c r="P261" s="54">
        <f t="shared" ref="P261:P266" si="120">O261</f>
        <v>19874.599999999999</v>
      </c>
      <c r="Q261" s="99"/>
      <c r="R261" s="81"/>
      <c r="W261" s="32">
        <f t="shared" si="115"/>
        <v>3374.5999999999913</v>
      </c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</row>
    <row r="262" ht="55.5" customHeight="1">
      <c r="A262" s="28"/>
      <c r="B262" s="73"/>
      <c r="C262" s="11" t="s">
        <v>67</v>
      </c>
      <c r="D262" s="14"/>
      <c r="E262" s="14"/>
      <c r="F262" s="11" t="s">
        <v>26</v>
      </c>
      <c r="G262" s="54">
        <f t="shared" si="119"/>
        <v>126132.86999999998</v>
      </c>
      <c r="H262" s="54">
        <f t="shared" si="119"/>
        <v>121423.63999999998</v>
      </c>
      <c r="I262" s="54">
        <f>J262+260.23000000000002+775+150+608+276+300+1300</f>
        <v>83283.069999999978</v>
      </c>
      <c r="J262" s="54">
        <f>79427.699999999997-J314-J321-J328-J335-1165.7-J342+649.39999999999998-0.29999999999999999+991.5+700+70-744.65999999999997</f>
        <v>79613.839999999982</v>
      </c>
      <c r="K262" s="54">
        <v>220</v>
      </c>
      <c r="L262" s="54">
        <v>0</v>
      </c>
      <c r="M262" s="54">
        <f>N262+360+460</f>
        <v>17618</v>
      </c>
      <c r="N262" s="54">
        <f>24612.900000000001+72-7886.8999999999996</f>
        <v>16798</v>
      </c>
      <c r="O262" s="54">
        <f>25011.799999999999-O286-O293-O314-O321-O328-O335</f>
        <v>25011.799999999999</v>
      </c>
      <c r="P262" s="54">
        <f t="shared" si="120"/>
        <v>25011.799999999999</v>
      </c>
      <c r="Q262" s="99"/>
      <c r="R262" s="35"/>
      <c r="W262" s="32">
        <f t="shared" si="115"/>
        <v>3669.2299999999959</v>
      </c>
    </row>
    <row r="263" ht="15" customHeight="1">
      <c r="A263" s="28"/>
      <c r="B263" s="73"/>
      <c r="C263" s="12" t="s">
        <v>101</v>
      </c>
      <c r="D263" s="14"/>
      <c r="E263" s="14"/>
      <c r="F263" s="11" t="s">
        <v>27</v>
      </c>
      <c r="G263" s="54">
        <f t="shared" si="119"/>
        <v>150271.633</v>
      </c>
      <c r="H263" s="54">
        <f t="shared" si="119"/>
        <v>148586.633</v>
      </c>
      <c r="I263" s="54">
        <f>J263+1685</f>
        <v>88590.800000000003</v>
      </c>
      <c r="J263" s="54">
        <f>86449.699999999997-J275-J343+1499.5+20+80+303.60000000000002</f>
        <v>86905.800000000003</v>
      </c>
      <c r="K263" s="54">
        <v>0</v>
      </c>
      <c r="L263" s="54">
        <v>0</v>
      </c>
      <c r="M263" s="54">
        <f>N263</f>
        <v>31832.332999999999</v>
      </c>
      <c r="N263" s="54">
        <f>32007.832999999999-175.5</f>
        <v>31832.332999999999</v>
      </c>
      <c r="O263" s="54">
        <f>29848.5-O287-O294-O315-O322-O329-O336</f>
        <v>29848.5</v>
      </c>
      <c r="P263" s="54">
        <f t="shared" si="120"/>
        <v>29848.5</v>
      </c>
      <c r="Q263" s="99"/>
      <c r="R263" s="35"/>
      <c r="W263" s="32">
        <f t="shared" si="115"/>
        <v>1685</v>
      </c>
    </row>
    <row r="264" ht="15.75">
      <c r="A264" s="28"/>
      <c r="B264" s="73"/>
      <c r="C264" s="14"/>
      <c r="D264" s="14"/>
      <c r="E264" s="14"/>
      <c r="F264" s="11" t="s">
        <v>28</v>
      </c>
      <c r="G264" s="54">
        <f t="shared" si="119"/>
        <v>163108.79999999999</v>
      </c>
      <c r="H264" s="54">
        <f>J264+L264+N264+P264</f>
        <v>157423</v>
      </c>
      <c r="I264" s="54">
        <f>I263</f>
        <v>88590.800000000003</v>
      </c>
      <c r="J264" s="54">
        <v>82905</v>
      </c>
      <c r="K264" s="54">
        <f>L264</f>
        <v>518.5</v>
      </c>
      <c r="L264" s="54">
        <v>518.5</v>
      </c>
      <c r="M264" s="54">
        <v>46076.599999999999</v>
      </c>
      <c r="N264" s="54">
        <f>M264</f>
        <v>46076.599999999999</v>
      </c>
      <c r="O264" s="54">
        <v>27922.900000000001</v>
      </c>
      <c r="P264" s="54">
        <f t="shared" si="120"/>
        <v>27922.900000000001</v>
      </c>
      <c r="Q264" s="99"/>
      <c r="R264" s="35"/>
      <c r="W264" s="32">
        <f t="shared" si="115"/>
        <v>5685.8000000000029</v>
      </c>
    </row>
    <row r="265" ht="21.600000000000001" customHeight="1">
      <c r="A265" s="28"/>
      <c r="B265" s="73"/>
      <c r="C265" s="14"/>
      <c r="D265" s="14"/>
      <c r="E265" s="14"/>
      <c r="F265" s="11" t="s">
        <v>29</v>
      </c>
      <c r="G265" s="54">
        <f t="shared" si="119"/>
        <v>167188</v>
      </c>
      <c r="H265" s="54">
        <f t="shared" si="119"/>
        <v>167188</v>
      </c>
      <c r="I265" s="54">
        <f>J265</f>
        <v>88971.099999999991</v>
      </c>
      <c r="J265" s="54">
        <f>87860.600000000006+1001.9+108.7-0.10000000000000001</f>
        <v>88971.099999999991</v>
      </c>
      <c r="K265" s="54">
        <v>0</v>
      </c>
      <c r="L265" s="54">
        <v>0</v>
      </c>
      <c r="M265" s="54">
        <v>47222.699999999997</v>
      </c>
      <c r="N265" s="54">
        <v>47222.699999999997</v>
      </c>
      <c r="O265" s="54">
        <f>9700.5+17309.400000000001+268.80000000000001+3730.9000000000001-O345</f>
        <v>30994.200000000001</v>
      </c>
      <c r="P265" s="54">
        <f t="shared" si="120"/>
        <v>30994.200000000001</v>
      </c>
      <c r="Q265" s="99"/>
      <c r="R265" s="35"/>
      <c r="W265" s="32">
        <f t="shared" si="115"/>
        <v>0</v>
      </c>
    </row>
    <row r="266" ht="15.75">
      <c r="A266" s="28"/>
      <c r="B266" s="73"/>
      <c r="C266" s="14"/>
      <c r="D266" s="14"/>
      <c r="E266" s="14"/>
      <c r="F266" s="11" t="s">
        <v>30</v>
      </c>
      <c r="G266" s="54">
        <f t="shared" si="119"/>
        <v>176717.60000000001</v>
      </c>
      <c r="H266" s="54">
        <f t="shared" si="119"/>
        <v>145277.84</v>
      </c>
      <c r="I266" s="54">
        <f>110196.60000000001</f>
        <v>110196.60000000001</v>
      </c>
      <c r="J266" s="54">
        <v>90751.740000000005</v>
      </c>
      <c r="K266" s="54">
        <v>0</v>
      </c>
      <c r="L266" s="54">
        <v>0</v>
      </c>
      <c r="M266" s="54">
        <v>46669.5</v>
      </c>
      <c r="N266" s="54">
        <v>34674.599999999999</v>
      </c>
      <c r="O266" s="54">
        <v>19851.5</v>
      </c>
      <c r="P266" s="54">
        <f t="shared" si="120"/>
        <v>19851.5</v>
      </c>
      <c r="Q266" s="99"/>
      <c r="R266" s="60"/>
      <c r="W266" s="32">
        <f t="shared" si="115"/>
        <v>19444.860000000001</v>
      </c>
      <c r="Y266" s="59"/>
    </row>
    <row r="267" ht="15.75">
      <c r="A267" s="28"/>
      <c r="B267" s="73"/>
      <c r="C267" s="14"/>
      <c r="D267" s="14"/>
      <c r="E267" s="14"/>
      <c r="F267" s="11" t="s">
        <v>31</v>
      </c>
      <c r="G267" s="54">
        <f t="shared" si="119"/>
        <v>197983.30000000002</v>
      </c>
      <c r="H267" s="54">
        <f t="shared" si="119"/>
        <v>175497.70000000001</v>
      </c>
      <c r="I267" s="54">
        <f>I266+5000+10000</f>
        <v>125196.60000000001</v>
      </c>
      <c r="J267" s="54">
        <v>110783.2</v>
      </c>
      <c r="K267" s="54">
        <v>0</v>
      </c>
      <c r="L267" s="54">
        <v>0</v>
      </c>
      <c r="M267" s="54">
        <f t="shared" ref="M267:M271" si="121">M266</f>
        <v>46669.5</v>
      </c>
      <c r="N267" s="54">
        <v>38597.300000000003</v>
      </c>
      <c r="O267" s="54">
        <f t="shared" ref="O267:O271" si="122">P267</f>
        <v>26117.200000000001</v>
      </c>
      <c r="P267" s="54">
        <f>26129-P347</f>
        <v>26117.200000000001</v>
      </c>
      <c r="Q267" s="99"/>
      <c r="R267" s="60"/>
      <c r="U267" s="59"/>
      <c r="W267" s="32">
        <f t="shared" si="115"/>
        <v>14413.400000000009</v>
      </c>
    </row>
    <row r="268" ht="15.75">
      <c r="A268" s="28"/>
      <c r="B268" s="73"/>
      <c r="C268" s="14"/>
      <c r="D268" s="14"/>
      <c r="E268" s="14"/>
      <c r="F268" s="11" t="s">
        <v>32</v>
      </c>
      <c r="G268" s="54">
        <f t="shared" si="119"/>
        <v>202802.20000000001</v>
      </c>
      <c r="H268" s="54">
        <f t="shared" si="119"/>
        <v>195823.5</v>
      </c>
      <c r="I268" s="54">
        <f>31300+103355.10000000001</f>
        <v>134655.10000000001</v>
      </c>
      <c r="J268" s="54">
        <v>130651.3</v>
      </c>
      <c r="K268" s="54">
        <v>0</v>
      </c>
      <c r="L268" s="54">
        <v>0</v>
      </c>
      <c r="M268" s="54">
        <f t="shared" si="121"/>
        <v>46669.5</v>
      </c>
      <c r="N268" s="54">
        <v>43694.599999999999</v>
      </c>
      <c r="O268" s="54">
        <f t="shared" si="122"/>
        <v>21477.599999999999</v>
      </c>
      <c r="P268" s="54">
        <f>21477.599999999999</f>
        <v>21477.599999999999</v>
      </c>
      <c r="Q268" s="99"/>
      <c r="R268" s="35"/>
      <c r="W268" s="32">
        <f t="shared" si="115"/>
        <v>4003.8000000000029</v>
      </c>
      <c r="X268" s="59">
        <f>I268-J268</f>
        <v>4003.8000000000029</v>
      </c>
    </row>
    <row r="269" s="1" customFormat="1" ht="21" customHeight="1">
      <c r="A269" s="28"/>
      <c r="B269" s="73"/>
      <c r="C269" s="14"/>
      <c r="D269" s="14"/>
      <c r="E269" s="14"/>
      <c r="F269" s="11" t="s">
        <v>33</v>
      </c>
      <c r="G269" s="54">
        <f t="shared" si="119"/>
        <v>223651.59999999998</v>
      </c>
      <c r="H269" s="54">
        <f t="shared" si="119"/>
        <v>139065.44</v>
      </c>
      <c r="I269" s="54">
        <f>155076.79999999999</f>
        <v>155076.79999999999</v>
      </c>
      <c r="J269" s="54">
        <f>115060.14</f>
        <v>115060.14</v>
      </c>
      <c r="K269" s="54">
        <v>0</v>
      </c>
      <c r="L269" s="54">
        <v>0</v>
      </c>
      <c r="M269" s="54">
        <f t="shared" si="121"/>
        <v>46669.5</v>
      </c>
      <c r="N269" s="54">
        <f t="shared" ref="N269:N270" si="123">2161-61</f>
        <v>2100</v>
      </c>
      <c r="O269" s="54">
        <f t="shared" si="122"/>
        <v>21905.299999999999</v>
      </c>
      <c r="P269" s="54">
        <v>21905.299999999999</v>
      </c>
      <c r="Q269" s="99"/>
      <c r="R269" s="60">
        <f>I269-J269</f>
        <v>40016.659999999989</v>
      </c>
      <c r="S269" s="59">
        <f>I269-J269</f>
        <v>40016.659999999989</v>
      </c>
      <c r="T269" s="59">
        <f>J269+47273.599999999999</f>
        <v>162333.73999999999</v>
      </c>
      <c r="W269" s="32">
        <f t="shared" si="115"/>
        <v>40016.659999999989</v>
      </c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</row>
    <row r="270" s="1" customFormat="1">
      <c r="A270" s="28"/>
      <c r="B270" s="73"/>
      <c r="C270" s="14"/>
      <c r="D270" s="14"/>
      <c r="E270" s="14"/>
      <c r="F270" s="11" t="s">
        <v>34</v>
      </c>
      <c r="G270" s="54">
        <f t="shared" si="119"/>
        <v>223115.09999999998</v>
      </c>
      <c r="H270" s="54">
        <f t="shared" si="119"/>
        <v>138813.20000000001</v>
      </c>
      <c r="I270" s="54">
        <f t="shared" ref="I270:I271" si="124">I269</f>
        <v>155076.79999999999</v>
      </c>
      <c r="J270" s="54">
        <f t="shared" ref="J270:J271" si="125">115060.10000000001+284.30000000000001</f>
        <v>115344.40000000001</v>
      </c>
      <c r="K270" s="54">
        <v>0</v>
      </c>
      <c r="L270" s="54">
        <v>0</v>
      </c>
      <c r="M270" s="54">
        <f t="shared" si="121"/>
        <v>46669.5</v>
      </c>
      <c r="N270" s="54">
        <f t="shared" si="123"/>
        <v>2100</v>
      </c>
      <c r="O270" s="54">
        <f t="shared" si="122"/>
        <v>21368.799999999999</v>
      </c>
      <c r="P270" s="54">
        <v>21368.799999999999</v>
      </c>
      <c r="Q270" s="99"/>
      <c r="R270" s="35"/>
      <c r="W270" s="32">
        <f t="shared" si="115"/>
        <v>39732.39999999998</v>
      </c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</row>
    <row r="271" s="1" customFormat="1">
      <c r="A271" s="28"/>
      <c r="B271" s="74"/>
      <c r="C271" s="16"/>
      <c r="D271" s="16"/>
      <c r="E271" s="16"/>
      <c r="F271" s="11" t="s">
        <v>35</v>
      </c>
      <c r="G271" s="54">
        <f t="shared" si="119"/>
        <v>223115.09999999998</v>
      </c>
      <c r="H271" s="54">
        <f t="shared" si="119"/>
        <v>136713.20000000001</v>
      </c>
      <c r="I271" s="54">
        <f t="shared" si="124"/>
        <v>155076.79999999999</v>
      </c>
      <c r="J271" s="54">
        <f t="shared" si="125"/>
        <v>115344.40000000001</v>
      </c>
      <c r="K271" s="54">
        <v>0</v>
      </c>
      <c r="L271" s="54">
        <v>0</v>
      </c>
      <c r="M271" s="54">
        <f t="shared" si="121"/>
        <v>46669.5</v>
      </c>
      <c r="N271" s="54">
        <v>0</v>
      </c>
      <c r="O271" s="54">
        <f t="shared" si="122"/>
        <v>21368.799999999999</v>
      </c>
      <c r="P271" s="54">
        <v>21368.799999999999</v>
      </c>
      <c r="Q271" s="99"/>
      <c r="R271" s="35"/>
      <c r="W271" s="32">
        <f t="shared" si="115"/>
        <v>39732.39999999998</v>
      </c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</row>
    <row r="272" s="26" customFormat="1" ht="15.75" customHeight="1">
      <c r="A272" s="28"/>
      <c r="B272" s="57" t="s">
        <v>102</v>
      </c>
      <c r="C272" s="5"/>
      <c r="D272" s="5"/>
      <c r="E272" s="11"/>
      <c r="F272" s="11" t="s">
        <v>22</v>
      </c>
      <c r="G272" s="54">
        <f>SUM(G273:G283)</f>
        <v>17199.900000000001</v>
      </c>
      <c r="H272" s="54">
        <f t="shared" ref="H272:P272" si="126">SUM(H273:H283)</f>
        <v>11199.9</v>
      </c>
      <c r="I272" s="54">
        <f t="shared" si="126"/>
        <v>17199.900000000001</v>
      </c>
      <c r="J272" s="54">
        <f>SUM(J273:J283)</f>
        <v>11199.9</v>
      </c>
      <c r="K272" s="54">
        <f t="shared" si="126"/>
        <v>0</v>
      </c>
      <c r="L272" s="54">
        <f t="shared" si="126"/>
        <v>0</v>
      </c>
      <c r="M272" s="54">
        <f t="shared" si="126"/>
        <v>0</v>
      </c>
      <c r="N272" s="54">
        <f t="shared" si="126"/>
        <v>0</v>
      </c>
      <c r="O272" s="54">
        <f t="shared" si="126"/>
        <v>0</v>
      </c>
      <c r="P272" s="54">
        <f t="shared" si="126"/>
        <v>0</v>
      </c>
      <c r="Q272" s="99"/>
      <c r="R272" s="35"/>
      <c r="W272" s="32">
        <f t="shared" si="115"/>
        <v>6000.0000000000018</v>
      </c>
      <c r="GB272" s="26"/>
      <c r="GC272" s="26"/>
      <c r="GD272" s="26"/>
      <c r="GE272" s="26"/>
      <c r="GF272" s="26"/>
      <c r="GG272" s="26"/>
      <c r="GH272" s="26"/>
      <c r="GI272" s="26"/>
      <c r="GJ272" s="26"/>
      <c r="GK272" s="26"/>
      <c r="GL272" s="26"/>
      <c r="GM272" s="26"/>
      <c r="GN272" s="26"/>
      <c r="GO272" s="26"/>
      <c r="GP272" s="26"/>
      <c r="GQ272" s="26"/>
      <c r="GR272" s="26"/>
      <c r="GS272" s="26"/>
      <c r="GT272" s="26"/>
      <c r="GU272" s="26"/>
      <c r="GV272" s="26"/>
      <c r="GW272" s="26"/>
      <c r="GX272" s="26"/>
      <c r="GY272" s="26"/>
      <c r="GZ272" s="26"/>
      <c r="HA272" s="26"/>
      <c r="HB272" s="26"/>
      <c r="HC272" s="26"/>
      <c r="HD272" s="26"/>
      <c r="HE272" s="26"/>
      <c r="HF272" s="26"/>
      <c r="HG272" s="26"/>
      <c r="HH272" s="26"/>
    </row>
    <row r="273" s="8" customFormat="1" ht="30" customHeight="1">
      <c r="A273" s="28"/>
      <c r="B273" s="57"/>
      <c r="C273" s="11" t="s">
        <v>103</v>
      </c>
      <c r="D273" s="12" t="s">
        <v>56</v>
      </c>
      <c r="E273" s="11" t="s">
        <v>94</v>
      </c>
      <c r="F273" s="11" t="s">
        <v>24</v>
      </c>
      <c r="G273" s="54">
        <f t="shared" ref="G273:H283" si="127">I273+K273+M273+O273</f>
        <v>1526.5999999999999</v>
      </c>
      <c r="H273" s="54">
        <f t="shared" si="127"/>
        <v>926.60000000000002</v>
      </c>
      <c r="I273" s="54">
        <f>600+J273</f>
        <v>1526.5999999999999</v>
      </c>
      <c r="J273" s="54">
        <v>926.60000000000002</v>
      </c>
      <c r="K273" s="54">
        <v>0</v>
      </c>
      <c r="L273" s="54">
        <v>0</v>
      </c>
      <c r="M273" s="54">
        <v>0</v>
      </c>
      <c r="N273" s="54">
        <v>0</v>
      </c>
      <c r="O273" s="54">
        <f t="shared" ref="O273:O274" si="128">P273</f>
        <v>0</v>
      </c>
      <c r="P273" s="54">
        <v>0</v>
      </c>
      <c r="Q273" s="99"/>
      <c r="R273" s="81"/>
      <c r="W273" s="32">
        <f t="shared" si="115"/>
        <v>599.99999999999989</v>
      </c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</row>
    <row r="274" ht="25.5" customHeight="1">
      <c r="A274" s="28"/>
      <c r="B274" s="57"/>
      <c r="C274" s="12" t="s">
        <v>104</v>
      </c>
      <c r="D274" s="14"/>
      <c r="E274" s="11"/>
      <c r="F274" s="11" t="s">
        <v>26</v>
      </c>
      <c r="G274" s="54">
        <f t="shared" si="127"/>
        <v>1052.0999999999999</v>
      </c>
      <c r="H274" s="54">
        <f t="shared" si="127"/>
        <v>1052.0999999999999</v>
      </c>
      <c r="I274" s="54">
        <f t="shared" ref="I274:I276" si="129">J274</f>
        <v>1052.0999999999999</v>
      </c>
      <c r="J274" s="54">
        <f>52.100000000000001+1160.5-46.899999999999999-113.59999999999999</f>
        <v>1052.0999999999999</v>
      </c>
      <c r="K274" s="54">
        <v>0</v>
      </c>
      <c r="L274" s="54">
        <v>0</v>
      </c>
      <c r="M274" s="54">
        <v>0</v>
      </c>
      <c r="N274" s="54">
        <v>0</v>
      </c>
      <c r="O274" s="54">
        <f t="shared" si="128"/>
        <v>0</v>
      </c>
      <c r="P274" s="54">
        <v>0</v>
      </c>
      <c r="Q274" s="99"/>
      <c r="R274" s="35"/>
      <c r="W274" s="32">
        <f t="shared" si="115"/>
        <v>0</v>
      </c>
    </row>
    <row r="275" ht="15.6" customHeight="1">
      <c r="A275" s="28"/>
      <c r="B275" s="57"/>
      <c r="C275" s="14"/>
      <c r="D275" s="14"/>
      <c r="E275" s="11"/>
      <c r="F275" s="11" t="s">
        <v>27</v>
      </c>
      <c r="G275" s="54">
        <f t="shared" si="127"/>
        <v>1132.9000000000001</v>
      </c>
      <c r="H275" s="54">
        <f t="shared" si="127"/>
        <v>1132.9000000000001</v>
      </c>
      <c r="I275" s="54">
        <f t="shared" si="129"/>
        <v>1132.9000000000001</v>
      </c>
      <c r="J275" s="54">
        <f>1165.5-32.600000000000001</f>
        <v>1132.9000000000001</v>
      </c>
      <c r="K275" s="54">
        <v>0</v>
      </c>
      <c r="L275" s="54">
        <v>0</v>
      </c>
      <c r="M275" s="54">
        <v>0</v>
      </c>
      <c r="N275" s="54">
        <v>0</v>
      </c>
      <c r="O275" s="54">
        <f t="shared" ref="O275:O278" si="130">1.1000000000000001*O274</f>
        <v>0</v>
      </c>
      <c r="P275" s="54">
        <v>0</v>
      </c>
      <c r="Q275" s="99"/>
      <c r="R275" s="35"/>
      <c r="W275" s="32">
        <f t="shared" si="115"/>
        <v>0</v>
      </c>
      <c r="Z275" s="59"/>
    </row>
    <row r="276" ht="15.75">
      <c r="A276" s="28"/>
      <c r="B276" s="57"/>
      <c r="C276" s="14"/>
      <c r="D276" s="14"/>
      <c r="E276" s="11"/>
      <c r="F276" s="11" t="s">
        <v>28</v>
      </c>
      <c r="G276" s="54">
        <f t="shared" si="127"/>
        <v>997.29999999999995</v>
      </c>
      <c r="H276" s="54">
        <f t="shared" si="127"/>
        <v>997.29999999999995</v>
      </c>
      <c r="I276" s="54">
        <f t="shared" si="129"/>
        <v>997.29999999999995</v>
      </c>
      <c r="J276" s="54">
        <v>997.29999999999995</v>
      </c>
      <c r="K276" s="54">
        <v>0</v>
      </c>
      <c r="L276" s="54">
        <v>0</v>
      </c>
      <c r="M276" s="54">
        <v>0</v>
      </c>
      <c r="N276" s="54">
        <v>0</v>
      </c>
      <c r="O276" s="54">
        <f t="shared" si="130"/>
        <v>0</v>
      </c>
      <c r="P276" s="54">
        <v>0</v>
      </c>
      <c r="Q276" s="99"/>
      <c r="R276" s="35"/>
      <c r="W276" s="32">
        <f t="shared" si="115"/>
        <v>0</v>
      </c>
    </row>
    <row r="277" ht="15.75">
      <c r="A277" s="28"/>
      <c r="B277" s="57"/>
      <c r="C277" s="14"/>
      <c r="D277" s="14"/>
      <c r="E277" s="11"/>
      <c r="F277" s="11" t="s">
        <v>29</v>
      </c>
      <c r="G277" s="54">
        <f t="shared" si="127"/>
        <v>1284.4000000000001</v>
      </c>
      <c r="H277" s="54">
        <f t="shared" si="127"/>
        <v>1284.4000000000001</v>
      </c>
      <c r="I277" s="54">
        <v>1284.4000000000001</v>
      </c>
      <c r="J277" s="54">
        <f>I277</f>
        <v>1284.4000000000001</v>
      </c>
      <c r="K277" s="54">
        <v>0</v>
      </c>
      <c r="L277" s="54">
        <v>0</v>
      </c>
      <c r="M277" s="54">
        <v>0</v>
      </c>
      <c r="N277" s="54">
        <v>0</v>
      </c>
      <c r="O277" s="54">
        <f t="shared" si="130"/>
        <v>0</v>
      </c>
      <c r="P277" s="54">
        <v>0</v>
      </c>
      <c r="Q277" s="99"/>
      <c r="R277" s="35"/>
      <c r="W277" s="32">
        <f t="shared" si="115"/>
        <v>0</v>
      </c>
    </row>
    <row r="278" ht="15.75">
      <c r="A278" s="28"/>
      <c r="B278" s="57"/>
      <c r="C278" s="14"/>
      <c r="D278" s="14"/>
      <c r="E278" s="11"/>
      <c r="F278" s="11" t="s">
        <v>30</v>
      </c>
      <c r="G278" s="54">
        <f t="shared" si="127"/>
        <v>265.5</v>
      </c>
      <c r="H278" s="54">
        <f t="shared" ref="H278:H283" si="131">J278+L278+N278+P278</f>
        <v>265.5</v>
      </c>
      <c r="I278" s="54">
        <v>265.5</v>
      </c>
      <c r="J278" s="54">
        <v>265.5</v>
      </c>
      <c r="K278" s="54">
        <v>0</v>
      </c>
      <c r="L278" s="54">
        <v>0</v>
      </c>
      <c r="M278" s="54">
        <v>0</v>
      </c>
      <c r="N278" s="54">
        <v>0</v>
      </c>
      <c r="O278" s="54">
        <f t="shared" si="130"/>
        <v>0</v>
      </c>
      <c r="P278" s="54">
        <v>0</v>
      </c>
      <c r="Q278" s="99"/>
      <c r="R278" s="35"/>
      <c r="W278" s="32">
        <f t="shared" si="115"/>
        <v>0</v>
      </c>
    </row>
    <row r="279" ht="15.75">
      <c r="A279" s="28"/>
      <c r="B279" s="57"/>
      <c r="C279" s="14"/>
      <c r="D279" s="14"/>
      <c r="E279" s="11"/>
      <c r="F279" s="11" t="s">
        <v>31</v>
      </c>
      <c r="G279" s="54">
        <f t="shared" si="127"/>
        <v>807.5</v>
      </c>
      <c r="H279" s="54">
        <f t="shared" si="131"/>
        <v>807.5</v>
      </c>
      <c r="I279" s="54">
        <v>807.5</v>
      </c>
      <c r="J279" s="54">
        <v>807.5</v>
      </c>
      <c r="K279" s="54">
        <v>0</v>
      </c>
      <c r="L279" s="54">
        <v>0</v>
      </c>
      <c r="M279" s="54">
        <v>0</v>
      </c>
      <c r="N279" s="54">
        <v>0</v>
      </c>
      <c r="O279" s="54">
        <v>0</v>
      </c>
      <c r="P279" s="54">
        <v>0</v>
      </c>
      <c r="Q279" s="99"/>
      <c r="R279" s="35"/>
      <c r="W279" s="32">
        <f t="shared" si="115"/>
        <v>0</v>
      </c>
    </row>
    <row r="280" ht="15.75">
      <c r="A280" s="28"/>
      <c r="B280" s="57"/>
      <c r="C280" s="14"/>
      <c r="D280" s="14"/>
      <c r="E280" s="11"/>
      <c r="F280" s="11" t="s">
        <v>32</v>
      </c>
      <c r="G280" s="54">
        <f t="shared" si="127"/>
        <v>1237.0999999999999</v>
      </c>
      <c r="H280" s="54">
        <f t="shared" si="131"/>
        <v>1237.0999999999999</v>
      </c>
      <c r="I280" s="54">
        <v>1237.0999999999999</v>
      </c>
      <c r="J280" s="54">
        <v>1237.0999999999999</v>
      </c>
      <c r="K280" s="54">
        <v>0</v>
      </c>
      <c r="L280" s="54">
        <v>0</v>
      </c>
      <c r="M280" s="54">
        <v>0</v>
      </c>
      <c r="N280" s="54">
        <v>0</v>
      </c>
      <c r="O280" s="54">
        <v>0</v>
      </c>
      <c r="P280" s="54">
        <v>0</v>
      </c>
      <c r="Q280" s="99"/>
      <c r="R280" s="35"/>
      <c r="W280" s="32">
        <f t="shared" si="115"/>
        <v>0</v>
      </c>
    </row>
    <row r="281" s="1" customFormat="1">
      <c r="A281" s="28"/>
      <c r="B281" s="57"/>
      <c r="C281" s="14"/>
      <c r="D281" s="14"/>
      <c r="E281" s="11"/>
      <c r="F281" s="11" t="s">
        <v>33</v>
      </c>
      <c r="G281" s="54">
        <f t="shared" si="127"/>
        <v>2965.5</v>
      </c>
      <c r="H281" s="54">
        <f t="shared" si="131"/>
        <v>1165.5</v>
      </c>
      <c r="I281" s="54">
        <f>1165.5+1800</f>
        <v>2965.5</v>
      </c>
      <c r="J281" s="54">
        <v>1165.5</v>
      </c>
      <c r="K281" s="54">
        <v>0</v>
      </c>
      <c r="L281" s="54">
        <v>0</v>
      </c>
      <c r="M281" s="54">
        <v>0</v>
      </c>
      <c r="N281" s="54">
        <v>0</v>
      </c>
      <c r="O281" s="54">
        <v>0</v>
      </c>
      <c r="P281" s="54">
        <v>0</v>
      </c>
      <c r="Q281" s="99"/>
      <c r="R281" s="35"/>
      <c r="W281" s="32">
        <f t="shared" si="115"/>
        <v>1800</v>
      </c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</row>
    <row r="282" s="1" customFormat="1">
      <c r="A282" s="28"/>
      <c r="B282" s="57"/>
      <c r="C282" s="14"/>
      <c r="D282" s="14"/>
      <c r="E282" s="11"/>
      <c r="F282" s="11" t="s">
        <v>34</v>
      </c>
      <c r="G282" s="54">
        <f t="shared" si="127"/>
        <v>2965.5</v>
      </c>
      <c r="H282" s="54">
        <f t="shared" si="131"/>
        <v>1165.5</v>
      </c>
      <c r="I282" s="54">
        <f t="shared" ref="I282:I283" si="132">I281</f>
        <v>2965.5</v>
      </c>
      <c r="J282" s="54">
        <v>1165.5</v>
      </c>
      <c r="K282" s="54">
        <v>0</v>
      </c>
      <c r="L282" s="54">
        <v>0</v>
      </c>
      <c r="M282" s="54">
        <v>0</v>
      </c>
      <c r="N282" s="54">
        <v>0</v>
      </c>
      <c r="O282" s="54">
        <v>0</v>
      </c>
      <c r="P282" s="54">
        <v>0</v>
      </c>
      <c r="Q282" s="99"/>
      <c r="R282" s="35"/>
      <c r="W282" s="32">
        <f t="shared" si="115"/>
        <v>1800</v>
      </c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</row>
    <row r="283" s="1" customFormat="1">
      <c r="A283" s="28"/>
      <c r="B283" s="57"/>
      <c r="C283" s="16"/>
      <c r="D283" s="16"/>
      <c r="E283" s="11"/>
      <c r="F283" s="11" t="s">
        <v>35</v>
      </c>
      <c r="G283" s="54">
        <f t="shared" si="127"/>
        <v>2965.5</v>
      </c>
      <c r="H283" s="54">
        <f t="shared" si="131"/>
        <v>1165.5</v>
      </c>
      <c r="I283" s="54">
        <f t="shared" si="132"/>
        <v>2965.5</v>
      </c>
      <c r="J283" s="54">
        <v>1165.5</v>
      </c>
      <c r="K283" s="54">
        <v>0</v>
      </c>
      <c r="L283" s="54">
        <v>0</v>
      </c>
      <c r="M283" s="54">
        <v>0</v>
      </c>
      <c r="N283" s="54">
        <v>0</v>
      </c>
      <c r="O283" s="54">
        <v>0</v>
      </c>
      <c r="P283" s="54">
        <v>0</v>
      </c>
      <c r="Q283" s="99"/>
      <c r="R283" s="35"/>
      <c r="W283" s="32">
        <f t="shared" si="115"/>
        <v>1800</v>
      </c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</row>
    <row r="284" s="26" customFormat="1" ht="15.6" customHeight="1">
      <c r="A284" s="28"/>
      <c r="B284" s="57" t="s">
        <v>105</v>
      </c>
      <c r="C284" s="107"/>
      <c r="D284" s="107"/>
      <c r="E284" s="14"/>
      <c r="F284" s="11" t="s">
        <v>22</v>
      </c>
      <c r="G284" s="54">
        <f>SUM(G285:G290)</f>
        <v>1815.5999999999999</v>
      </c>
      <c r="H284" s="54">
        <f t="shared" ref="H284:N284" si="133">SUM(H285:H290)</f>
        <v>1515.5999999999999</v>
      </c>
      <c r="I284" s="54">
        <f t="shared" si="133"/>
        <v>1500</v>
      </c>
      <c r="J284" s="54">
        <f t="shared" si="133"/>
        <v>1500</v>
      </c>
      <c r="K284" s="54">
        <f t="shared" si="133"/>
        <v>0</v>
      </c>
      <c r="L284" s="54">
        <f t="shared" si="133"/>
        <v>0</v>
      </c>
      <c r="M284" s="54">
        <f t="shared" si="133"/>
        <v>300</v>
      </c>
      <c r="N284" s="54">
        <f t="shared" si="133"/>
        <v>0</v>
      </c>
      <c r="O284" s="54">
        <f>SUM(O285:O290)</f>
        <v>15.6</v>
      </c>
      <c r="P284" s="54">
        <f>SUM(P285:P290)</f>
        <v>15.6</v>
      </c>
      <c r="Q284" s="99"/>
      <c r="R284" s="35"/>
      <c r="W284" s="32">
        <f t="shared" si="115"/>
        <v>0</v>
      </c>
      <c r="GB284" s="26"/>
      <c r="GC284" s="26"/>
      <c r="GD284" s="26"/>
      <c r="GE284" s="26"/>
      <c r="GF284" s="26"/>
      <c r="GG284" s="26"/>
      <c r="GH284" s="26"/>
      <c r="GI284" s="26"/>
      <c r="GJ284" s="26"/>
      <c r="GK284" s="26"/>
      <c r="GL284" s="26"/>
      <c r="GM284" s="26"/>
      <c r="GN284" s="26"/>
      <c r="GO284" s="26"/>
      <c r="GP284" s="26"/>
      <c r="GQ284" s="26"/>
      <c r="GR284" s="26"/>
      <c r="GS284" s="26"/>
      <c r="GT284" s="26"/>
      <c r="GU284" s="26"/>
      <c r="GV284" s="26"/>
      <c r="GW284" s="26"/>
      <c r="GX284" s="26"/>
      <c r="GY284" s="26"/>
      <c r="GZ284" s="26"/>
      <c r="HA284" s="26"/>
      <c r="HB284" s="26"/>
      <c r="HC284" s="26"/>
      <c r="HD284" s="26"/>
      <c r="HE284" s="26"/>
      <c r="HF284" s="26"/>
      <c r="HG284" s="26"/>
      <c r="HH284" s="26"/>
    </row>
    <row r="285" s="8" customFormat="1" ht="31.149999999999999" customHeight="1">
      <c r="A285" s="28"/>
      <c r="B285" s="57"/>
      <c r="C285" s="108"/>
      <c r="D285" s="108"/>
      <c r="E285" s="14"/>
      <c r="F285" s="11" t="s">
        <v>24</v>
      </c>
      <c r="G285" s="54">
        <f>I285+K285+M285+O285</f>
        <v>1815.5999999999999</v>
      </c>
      <c r="H285" s="54">
        <f>J285+L285+N285+P285</f>
        <v>1515.5999999999999</v>
      </c>
      <c r="I285" s="54">
        <v>1500</v>
      </c>
      <c r="J285" s="54">
        <v>1500</v>
      </c>
      <c r="K285" s="54">
        <v>0</v>
      </c>
      <c r="L285" s="54">
        <v>0</v>
      </c>
      <c r="M285" s="54">
        <v>300</v>
      </c>
      <c r="N285" s="54">
        <v>0</v>
      </c>
      <c r="O285" s="54">
        <v>15.6</v>
      </c>
      <c r="P285" s="54">
        <f>O285</f>
        <v>15.6</v>
      </c>
      <c r="Q285" s="99"/>
      <c r="R285" s="81"/>
      <c r="W285" s="32">
        <f t="shared" si="115"/>
        <v>0</v>
      </c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</row>
    <row r="286" ht="25.899999999999999" customHeight="1">
      <c r="A286" s="28"/>
      <c r="B286" s="57"/>
      <c r="C286" s="109"/>
      <c r="D286" s="109"/>
      <c r="E286" s="16"/>
      <c r="F286" s="11" t="s">
        <v>26</v>
      </c>
      <c r="G286" s="61" t="s">
        <v>106</v>
      </c>
      <c r="H286" s="62"/>
      <c r="I286" s="62"/>
      <c r="J286" s="62"/>
      <c r="K286" s="62"/>
      <c r="L286" s="62"/>
      <c r="M286" s="62"/>
      <c r="N286" s="62"/>
      <c r="O286" s="62"/>
      <c r="P286" s="63"/>
      <c r="Q286" s="99"/>
      <c r="R286" s="35"/>
      <c r="W286" s="32">
        <f t="shared" si="115"/>
        <v>0</v>
      </c>
    </row>
    <row r="287" ht="15.6" hidden="1" customHeight="1">
      <c r="A287" s="28"/>
      <c r="B287" s="57"/>
      <c r="C287" s="11"/>
      <c r="D287" s="11"/>
      <c r="E287" s="16"/>
      <c r="F287" s="11" t="s">
        <v>27</v>
      </c>
      <c r="G287" s="65"/>
      <c r="H287" s="66"/>
      <c r="I287" s="66"/>
      <c r="J287" s="66"/>
      <c r="K287" s="66"/>
      <c r="L287" s="66"/>
      <c r="M287" s="66"/>
      <c r="N287" s="66"/>
      <c r="O287" s="66"/>
      <c r="P287" s="67"/>
      <c r="Q287" s="99"/>
      <c r="R287" s="35"/>
      <c r="W287" s="32">
        <f t="shared" si="115"/>
        <v>0</v>
      </c>
    </row>
    <row r="288" ht="15.6" hidden="1" customHeight="1">
      <c r="A288" s="28"/>
      <c r="B288" s="57"/>
      <c r="C288" s="11"/>
      <c r="D288" s="11"/>
      <c r="E288" s="107"/>
      <c r="F288" s="11" t="s">
        <v>28</v>
      </c>
      <c r="G288" s="65"/>
      <c r="H288" s="66"/>
      <c r="I288" s="66"/>
      <c r="J288" s="66"/>
      <c r="K288" s="66"/>
      <c r="L288" s="66"/>
      <c r="M288" s="66"/>
      <c r="N288" s="66"/>
      <c r="O288" s="66"/>
      <c r="P288" s="67"/>
      <c r="Q288" s="99"/>
      <c r="R288" s="35"/>
      <c r="W288" s="32">
        <f t="shared" si="115"/>
        <v>0</v>
      </c>
    </row>
    <row r="289" ht="15.6" hidden="1" customHeight="1">
      <c r="A289" s="28"/>
      <c r="B289" s="57"/>
      <c r="C289" s="11"/>
      <c r="D289" s="11"/>
      <c r="E289" s="108"/>
      <c r="F289" s="11" t="s">
        <v>29</v>
      </c>
      <c r="G289" s="65"/>
      <c r="H289" s="66"/>
      <c r="I289" s="66"/>
      <c r="J289" s="66"/>
      <c r="K289" s="66"/>
      <c r="L289" s="66"/>
      <c r="M289" s="66"/>
      <c r="N289" s="66"/>
      <c r="O289" s="66"/>
      <c r="P289" s="67"/>
      <c r="Q289" s="99"/>
      <c r="R289" s="35"/>
      <c r="W289" s="32">
        <f t="shared" si="115"/>
        <v>0</v>
      </c>
    </row>
    <row r="290" ht="15.6" hidden="1" customHeight="1">
      <c r="A290" s="28"/>
      <c r="B290" s="57"/>
      <c r="C290" s="11"/>
      <c r="D290" s="11"/>
      <c r="E290" s="109"/>
      <c r="F290" s="11" t="s">
        <v>30</v>
      </c>
      <c r="G290" s="68"/>
      <c r="H290" s="69"/>
      <c r="I290" s="69"/>
      <c r="J290" s="69"/>
      <c r="K290" s="69"/>
      <c r="L290" s="69"/>
      <c r="M290" s="69"/>
      <c r="N290" s="69"/>
      <c r="O290" s="69"/>
      <c r="P290" s="70"/>
      <c r="Q290" s="99"/>
      <c r="R290" s="35"/>
      <c r="W290" s="32">
        <f t="shared" si="115"/>
        <v>0</v>
      </c>
    </row>
    <row r="291" s="26" customFormat="1">
      <c r="A291" s="28"/>
      <c r="B291" s="57" t="s">
        <v>107</v>
      </c>
      <c r="C291" s="12" t="s">
        <v>70</v>
      </c>
      <c r="D291" s="12"/>
      <c r="E291" s="12"/>
      <c r="F291" s="11" t="s">
        <v>22</v>
      </c>
      <c r="G291" s="54">
        <f>SUM(G292:G297)</f>
        <v>6500</v>
      </c>
      <c r="H291" s="54">
        <f t="shared" ref="H291:P291" si="134">SUM(H292:H297)</f>
        <v>0</v>
      </c>
      <c r="I291" s="54">
        <f t="shared" si="134"/>
        <v>6500</v>
      </c>
      <c r="J291" s="54">
        <f t="shared" si="134"/>
        <v>0</v>
      </c>
      <c r="K291" s="54">
        <f t="shared" si="134"/>
        <v>0</v>
      </c>
      <c r="L291" s="54">
        <f t="shared" si="134"/>
        <v>0</v>
      </c>
      <c r="M291" s="54">
        <f t="shared" si="134"/>
        <v>0</v>
      </c>
      <c r="N291" s="54">
        <f t="shared" si="134"/>
        <v>0</v>
      </c>
      <c r="O291" s="54">
        <f t="shared" si="134"/>
        <v>0</v>
      </c>
      <c r="P291" s="54">
        <f t="shared" si="134"/>
        <v>0</v>
      </c>
      <c r="Q291" s="99"/>
      <c r="R291" s="35"/>
      <c r="W291" s="32">
        <f t="shared" si="115"/>
        <v>6500</v>
      </c>
      <c r="GB291" s="26"/>
      <c r="GC291" s="26"/>
      <c r="GD291" s="26"/>
      <c r="GE291" s="26"/>
      <c r="GF291" s="26"/>
      <c r="GG291" s="26"/>
      <c r="GH291" s="26"/>
      <c r="GI291" s="26"/>
      <c r="GJ291" s="26"/>
      <c r="GK291" s="26"/>
      <c r="GL291" s="26"/>
      <c r="GM291" s="26"/>
      <c r="GN291" s="26"/>
      <c r="GO291" s="26"/>
      <c r="GP291" s="26"/>
      <c r="GQ291" s="26"/>
      <c r="GR291" s="26"/>
      <c r="GS291" s="26"/>
      <c r="GT291" s="26"/>
      <c r="GU291" s="26"/>
      <c r="GV291" s="26"/>
      <c r="GW291" s="26"/>
      <c r="GX291" s="26"/>
      <c r="GY291" s="26"/>
      <c r="GZ291" s="26"/>
      <c r="HA291" s="26"/>
      <c r="HB291" s="26"/>
      <c r="HC291" s="26"/>
      <c r="HD291" s="26"/>
      <c r="HE291" s="26"/>
      <c r="HF291" s="26"/>
      <c r="HG291" s="26"/>
      <c r="HH291" s="26"/>
    </row>
    <row r="292" s="8" customFormat="1" ht="31.899999999999999" customHeight="1">
      <c r="A292" s="28"/>
      <c r="B292" s="57"/>
      <c r="C292" s="14"/>
      <c r="D292" s="14"/>
      <c r="E292" s="14"/>
      <c r="F292" s="11" t="s">
        <v>24</v>
      </c>
      <c r="G292" s="54">
        <f>I292+K292+M292+O292</f>
        <v>6500</v>
      </c>
      <c r="H292" s="54">
        <f>J292+L292+N292+P292</f>
        <v>0</v>
      </c>
      <c r="I292" s="54">
        <f>6500</f>
        <v>6500</v>
      </c>
      <c r="J292" s="54">
        <v>0</v>
      </c>
      <c r="K292" s="54">
        <v>0</v>
      </c>
      <c r="L292" s="54">
        <v>0</v>
      </c>
      <c r="M292" s="54">
        <v>0</v>
      </c>
      <c r="N292" s="54">
        <v>0</v>
      </c>
      <c r="O292" s="54">
        <v>0</v>
      </c>
      <c r="P292" s="54">
        <f>O292</f>
        <v>0</v>
      </c>
      <c r="Q292" s="99"/>
      <c r="R292" s="81"/>
      <c r="W292" s="32">
        <f t="shared" si="115"/>
        <v>6500</v>
      </c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</row>
    <row r="293" ht="61.149999999999999" customHeight="1">
      <c r="A293" s="28"/>
      <c r="B293" s="57"/>
      <c r="C293" s="16"/>
      <c r="D293" s="16"/>
      <c r="E293" s="16"/>
      <c r="F293" s="11" t="s">
        <v>26</v>
      </c>
      <c r="G293" s="61" t="s">
        <v>106</v>
      </c>
      <c r="H293" s="62"/>
      <c r="I293" s="62"/>
      <c r="J293" s="62"/>
      <c r="K293" s="62"/>
      <c r="L293" s="62"/>
      <c r="M293" s="62"/>
      <c r="N293" s="62"/>
      <c r="O293" s="62"/>
      <c r="P293" s="63"/>
      <c r="Q293" s="99"/>
      <c r="R293" s="35"/>
      <c r="W293" s="32">
        <f t="shared" si="115"/>
        <v>0</v>
      </c>
    </row>
    <row r="294" ht="15.6" hidden="1" customHeight="1">
      <c r="A294" s="28"/>
      <c r="B294" s="57"/>
      <c r="C294" s="11"/>
      <c r="D294" s="11"/>
      <c r="E294" s="11"/>
      <c r="F294" s="11" t="s">
        <v>27</v>
      </c>
      <c r="G294" s="65"/>
      <c r="H294" s="66"/>
      <c r="I294" s="66"/>
      <c r="J294" s="66"/>
      <c r="K294" s="66"/>
      <c r="L294" s="66"/>
      <c r="M294" s="66"/>
      <c r="N294" s="66"/>
      <c r="O294" s="66"/>
      <c r="P294" s="67"/>
      <c r="Q294" s="99"/>
      <c r="R294" s="35"/>
      <c r="W294" s="32">
        <f t="shared" si="115"/>
        <v>0</v>
      </c>
    </row>
    <row r="295" ht="15.6" hidden="1" customHeight="1">
      <c r="A295" s="28"/>
      <c r="B295" s="57"/>
      <c r="C295" s="11"/>
      <c r="D295" s="11"/>
      <c r="E295" s="12"/>
      <c r="F295" s="11" t="s">
        <v>28</v>
      </c>
      <c r="G295" s="65"/>
      <c r="H295" s="66"/>
      <c r="I295" s="66"/>
      <c r="J295" s="66"/>
      <c r="K295" s="66"/>
      <c r="L295" s="66"/>
      <c r="M295" s="66"/>
      <c r="N295" s="66"/>
      <c r="O295" s="66"/>
      <c r="P295" s="67"/>
      <c r="Q295" s="99"/>
      <c r="R295" s="35"/>
      <c r="W295" s="32">
        <f t="shared" si="115"/>
        <v>0</v>
      </c>
    </row>
    <row r="296" ht="15.6" hidden="1" customHeight="1">
      <c r="A296" s="28"/>
      <c r="B296" s="57"/>
      <c r="C296" s="11"/>
      <c r="D296" s="11"/>
      <c r="E296" s="14"/>
      <c r="F296" s="11" t="s">
        <v>29</v>
      </c>
      <c r="G296" s="65"/>
      <c r="H296" s="66"/>
      <c r="I296" s="66"/>
      <c r="J296" s="66"/>
      <c r="K296" s="66"/>
      <c r="L296" s="66"/>
      <c r="M296" s="66"/>
      <c r="N296" s="66"/>
      <c r="O296" s="66"/>
      <c r="P296" s="67"/>
      <c r="Q296" s="99"/>
      <c r="R296" s="35"/>
      <c r="W296" s="32">
        <f t="shared" si="115"/>
        <v>0</v>
      </c>
    </row>
    <row r="297" ht="15.6" hidden="1" customHeight="1">
      <c r="A297" s="28"/>
      <c r="B297" s="57"/>
      <c r="C297" s="11"/>
      <c r="D297" s="11"/>
      <c r="E297" s="16"/>
      <c r="F297" s="11" t="s">
        <v>30</v>
      </c>
      <c r="G297" s="68"/>
      <c r="H297" s="69"/>
      <c r="I297" s="69"/>
      <c r="J297" s="69"/>
      <c r="K297" s="69"/>
      <c r="L297" s="69"/>
      <c r="M297" s="69"/>
      <c r="N297" s="69"/>
      <c r="O297" s="69"/>
      <c r="P297" s="70"/>
      <c r="Q297" s="99"/>
      <c r="R297" s="35"/>
      <c r="W297" s="32">
        <f t="shared" si="115"/>
        <v>0</v>
      </c>
    </row>
    <row r="298" ht="15.6" hidden="1" customHeight="1">
      <c r="A298" s="28"/>
      <c r="B298" s="57" t="s">
        <v>108</v>
      </c>
      <c r="C298" s="11"/>
      <c r="D298" s="11"/>
      <c r="E298" s="11"/>
      <c r="F298" s="11" t="s">
        <v>22</v>
      </c>
      <c r="G298" s="54">
        <f>SUM(G299:G304)</f>
        <v>0</v>
      </c>
      <c r="H298" s="54">
        <f t="shared" ref="H298:P298" si="135">SUM(H299:H304)</f>
        <v>0</v>
      </c>
      <c r="I298" s="54">
        <f t="shared" si="135"/>
        <v>0</v>
      </c>
      <c r="J298" s="54">
        <f t="shared" si="135"/>
        <v>0</v>
      </c>
      <c r="K298" s="54">
        <f t="shared" si="135"/>
        <v>0</v>
      </c>
      <c r="L298" s="54">
        <f t="shared" si="135"/>
        <v>0</v>
      </c>
      <c r="M298" s="54">
        <f t="shared" si="135"/>
        <v>0</v>
      </c>
      <c r="N298" s="54">
        <f t="shared" si="135"/>
        <v>0</v>
      </c>
      <c r="O298" s="54">
        <f t="shared" si="135"/>
        <v>0</v>
      </c>
      <c r="P298" s="54">
        <f t="shared" si="135"/>
        <v>0</v>
      </c>
      <c r="Q298" s="99"/>
      <c r="R298" s="35"/>
      <c r="W298" s="32">
        <f t="shared" si="115"/>
        <v>0</v>
      </c>
    </row>
    <row r="299" s="8" customFormat="1" ht="15.6" hidden="1" customHeight="1">
      <c r="A299" s="28"/>
      <c r="B299" s="57" t="s">
        <v>109</v>
      </c>
      <c r="C299" s="11"/>
      <c r="D299" s="11"/>
      <c r="E299" s="11"/>
      <c r="F299" s="11" t="s">
        <v>24</v>
      </c>
      <c r="G299" s="54">
        <f t="shared" ref="G299:H304" si="136">I299+K299+M299+O299</f>
        <v>0</v>
      </c>
      <c r="H299" s="54">
        <f t="shared" si="136"/>
        <v>0</v>
      </c>
      <c r="I299" s="54"/>
      <c r="J299" s="54">
        <v>0</v>
      </c>
      <c r="K299" s="54">
        <v>0</v>
      </c>
      <c r="L299" s="54">
        <v>0</v>
      </c>
      <c r="M299" s="54">
        <v>0</v>
      </c>
      <c r="N299" s="54">
        <v>0</v>
      </c>
      <c r="O299" s="54">
        <f t="shared" ref="O299:O304" si="137">P299</f>
        <v>0</v>
      </c>
      <c r="P299" s="54">
        <v>0</v>
      </c>
      <c r="Q299" s="99"/>
      <c r="R299" s="81"/>
      <c r="W299" s="32">
        <f t="shared" si="115"/>
        <v>0</v>
      </c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</row>
    <row r="300" ht="15.6" hidden="1" customHeight="1">
      <c r="A300" s="28"/>
      <c r="B300" s="57" t="s">
        <v>110</v>
      </c>
      <c r="C300" s="11"/>
      <c r="D300" s="11"/>
      <c r="E300" s="11"/>
      <c r="F300" s="11" t="s">
        <v>26</v>
      </c>
      <c r="G300" s="54">
        <f t="shared" si="136"/>
        <v>0</v>
      </c>
      <c r="H300" s="54">
        <f t="shared" si="136"/>
        <v>0</v>
      </c>
      <c r="I300" s="54"/>
      <c r="J300" s="54">
        <v>0</v>
      </c>
      <c r="K300" s="54">
        <v>0</v>
      </c>
      <c r="L300" s="54">
        <v>0</v>
      </c>
      <c r="M300" s="54">
        <v>0</v>
      </c>
      <c r="N300" s="54">
        <v>0</v>
      </c>
      <c r="O300" s="54">
        <f t="shared" si="137"/>
        <v>0</v>
      </c>
      <c r="P300" s="54">
        <v>0</v>
      </c>
      <c r="Q300" s="99"/>
      <c r="R300" s="35"/>
      <c r="W300" s="32">
        <f t="shared" si="115"/>
        <v>0</v>
      </c>
    </row>
    <row r="301" ht="15.6" hidden="1" customHeight="1">
      <c r="A301" s="28"/>
      <c r="B301" s="57"/>
      <c r="C301" s="11"/>
      <c r="D301" s="11"/>
      <c r="E301" s="11"/>
      <c r="F301" s="11" t="s">
        <v>27</v>
      </c>
      <c r="G301" s="54">
        <f t="shared" si="136"/>
        <v>0</v>
      </c>
      <c r="H301" s="54">
        <f t="shared" si="136"/>
        <v>0</v>
      </c>
      <c r="I301" s="54"/>
      <c r="J301" s="54">
        <v>0</v>
      </c>
      <c r="K301" s="54">
        <v>0</v>
      </c>
      <c r="L301" s="54">
        <v>0</v>
      </c>
      <c r="M301" s="54">
        <v>0</v>
      </c>
      <c r="N301" s="54">
        <v>0</v>
      </c>
      <c r="O301" s="54">
        <f t="shared" si="137"/>
        <v>0</v>
      </c>
      <c r="P301" s="54">
        <v>0</v>
      </c>
      <c r="Q301" s="99"/>
      <c r="R301" s="35"/>
      <c r="W301" s="32">
        <f t="shared" si="115"/>
        <v>0</v>
      </c>
    </row>
    <row r="302" ht="15.6" hidden="1" customHeight="1">
      <c r="A302" s="28"/>
      <c r="B302" s="57"/>
      <c r="C302" s="11"/>
      <c r="D302" s="11"/>
      <c r="E302" s="11"/>
      <c r="F302" s="11" t="s">
        <v>28</v>
      </c>
      <c r="G302" s="54">
        <f t="shared" si="136"/>
        <v>0</v>
      </c>
      <c r="H302" s="54">
        <f t="shared" si="136"/>
        <v>0</v>
      </c>
      <c r="I302" s="54"/>
      <c r="J302" s="54">
        <v>0</v>
      </c>
      <c r="K302" s="54">
        <v>0</v>
      </c>
      <c r="L302" s="54">
        <v>0</v>
      </c>
      <c r="M302" s="54">
        <v>0</v>
      </c>
      <c r="N302" s="54">
        <v>0</v>
      </c>
      <c r="O302" s="54">
        <f t="shared" si="137"/>
        <v>0</v>
      </c>
      <c r="P302" s="54">
        <v>0</v>
      </c>
      <c r="Q302" s="99"/>
      <c r="R302" s="35"/>
      <c r="W302" s="32">
        <f t="shared" si="115"/>
        <v>0</v>
      </c>
    </row>
    <row r="303" ht="15.6" hidden="1" customHeight="1">
      <c r="A303" s="28"/>
      <c r="B303" s="57"/>
      <c r="C303" s="11"/>
      <c r="D303" s="11"/>
      <c r="E303" s="11"/>
      <c r="F303" s="11" t="s">
        <v>29</v>
      </c>
      <c r="G303" s="54">
        <f t="shared" si="136"/>
        <v>0</v>
      </c>
      <c r="H303" s="54">
        <f t="shared" si="136"/>
        <v>0</v>
      </c>
      <c r="I303" s="54"/>
      <c r="J303" s="54">
        <v>0</v>
      </c>
      <c r="K303" s="54">
        <v>0</v>
      </c>
      <c r="L303" s="54">
        <v>0</v>
      </c>
      <c r="M303" s="54">
        <v>0</v>
      </c>
      <c r="N303" s="54">
        <v>0</v>
      </c>
      <c r="O303" s="54">
        <f t="shared" si="137"/>
        <v>0</v>
      </c>
      <c r="P303" s="54">
        <v>0</v>
      </c>
      <c r="Q303" s="99"/>
      <c r="R303" s="35"/>
      <c r="W303" s="32">
        <f t="shared" si="115"/>
        <v>0</v>
      </c>
    </row>
    <row r="304" ht="15.6" hidden="1" customHeight="1">
      <c r="A304" s="28"/>
      <c r="B304" s="57"/>
      <c r="C304" s="11"/>
      <c r="D304" s="11"/>
      <c r="E304" s="11"/>
      <c r="F304" s="11" t="s">
        <v>30</v>
      </c>
      <c r="G304" s="54">
        <f t="shared" si="136"/>
        <v>0</v>
      </c>
      <c r="H304" s="54">
        <f t="shared" si="136"/>
        <v>0</v>
      </c>
      <c r="I304" s="54"/>
      <c r="J304" s="54">
        <v>0</v>
      </c>
      <c r="K304" s="54">
        <v>0</v>
      </c>
      <c r="L304" s="54">
        <v>0</v>
      </c>
      <c r="M304" s="54">
        <v>0</v>
      </c>
      <c r="N304" s="54">
        <v>0</v>
      </c>
      <c r="O304" s="54">
        <f t="shared" si="137"/>
        <v>0</v>
      </c>
      <c r="P304" s="54">
        <v>0</v>
      </c>
      <c r="Q304" s="99"/>
      <c r="R304" s="35"/>
      <c r="W304" s="32">
        <f t="shared" si="115"/>
        <v>0</v>
      </c>
    </row>
    <row r="305" ht="15.6" hidden="1" customHeight="1">
      <c r="A305" s="28"/>
      <c r="B305" s="57" t="s">
        <v>111</v>
      </c>
      <c r="C305" s="11"/>
      <c r="D305" s="11"/>
      <c r="E305" s="11"/>
      <c r="F305" s="11" t="s">
        <v>22</v>
      </c>
      <c r="G305" s="54">
        <f>SUM(G306:G311)</f>
        <v>0</v>
      </c>
      <c r="H305" s="54">
        <f t="shared" ref="H305:P305" si="138">SUM(H306:H311)</f>
        <v>0</v>
      </c>
      <c r="I305" s="54">
        <f t="shared" si="138"/>
        <v>0</v>
      </c>
      <c r="J305" s="54">
        <f t="shared" si="138"/>
        <v>0</v>
      </c>
      <c r="K305" s="54">
        <f t="shared" si="138"/>
        <v>0</v>
      </c>
      <c r="L305" s="54">
        <f t="shared" si="138"/>
        <v>0</v>
      </c>
      <c r="M305" s="54">
        <f t="shared" si="138"/>
        <v>0</v>
      </c>
      <c r="N305" s="54">
        <f t="shared" si="138"/>
        <v>0</v>
      </c>
      <c r="O305" s="54">
        <f t="shared" si="138"/>
        <v>0</v>
      </c>
      <c r="P305" s="54">
        <f t="shared" si="138"/>
        <v>0</v>
      </c>
      <c r="Q305" s="99"/>
      <c r="R305" s="35"/>
      <c r="W305" s="32">
        <f t="shared" si="115"/>
        <v>0</v>
      </c>
    </row>
    <row r="306" s="8" customFormat="1" ht="15.6" hidden="1" customHeight="1">
      <c r="A306" s="28"/>
      <c r="B306" s="57"/>
      <c r="C306" s="11"/>
      <c r="D306" s="11"/>
      <c r="E306" s="11"/>
      <c r="F306" s="11" t="s">
        <v>24</v>
      </c>
      <c r="G306" s="54">
        <f t="shared" ref="G306:H311" si="139">I306+K306+M306+O306</f>
        <v>0</v>
      </c>
      <c r="H306" s="54">
        <f t="shared" si="139"/>
        <v>0</v>
      </c>
      <c r="I306" s="54"/>
      <c r="J306" s="54">
        <v>0</v>
      </c>
      <c r="K306" s="54">
        <v>0</v>
      </c>
      <c r="L306" s="54">
        <v>0</v>
      </c>
      <c r="M306" s="54">
        <v>0</v>
      </c>
      <c r="N306" s="54">
        <v>0</v>
      </c>
      <c r="O306" s="54">
        <f t="shared" ref="O306:O311" si="140">P306</f>
        <v>0</v>
      </c>
      <c r="P306" s="54">
        <v>0</v>
      </c>
      <c r="Q306" s="99"/>
      <c r="R306" s="81"/>
      <c r="W306" s="32">
        <f t="shared" si="115"/>
        <v>0</v>
      </c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</row>
    <row r="307" ht="15.6" hidden="1" customHeight="1">
      <c r="A307" s="28"/>
      <c r="B307" s="57"/>
      <c r="C307" s="11"/>
      <c r="D307" s="11"/>
      <c r="E307" s="11"/>
      <c r="F307" s="11" t="s">
        <v>26</v>
      </c>
      <c r="G307" s="54">
        <f t="shared" si="139"/>
        <v>0</v>
      </c>
      <c r="H307" s="54">
        <f t="shared" si="139"/>
        <v>0</v>
      </c>
      <c r="I307" s="54"/>
      <c r="J307" s="54">
        <v>0</v>
      </c>
      <c r="K307" s="54">
        <v>0</v>
      </c>
      <c r="L307" s="54">
        <v>0</v>
      </c>
      <c r="M307" s="54">
        <v>0</v>
      </c>
      <c r="N307" s="54">
        <v>0</v>
      </c>
      <c r="O307" s="54">
        <f t="shared" si="140"/>
        <v>0</v>
      </c>
      <c r="P307" s="54">
        <v>0</v>
      </c>
      <c r="Q307" s="99"/>
      <c r="R307" s="35"/>
      <c r="W307" s="32">
        <f t="shared" si="115"/>
        <v>0</v>
      </c>
    </row>
    <row r="308" ht="15.6" hidden="1" customHeight="1">
      <c r="A308" s="28"/>
      <c r="B308" s="57"/>
      <c r="C308" s="11"/>
      <c r="D308" s="11"/>
      <c r="E308" s="11"/>
      <c r="F308" s="11" t="s">
        <v>27</v>
      </c>
      <c r="G308" s="54">
        <f t="shared" si="139"/>
        <v>0</v>
      </c>
      <c r="H308" s="54">
        <f t="shared" si="139"/>
        <v>0</v>
      </c>
      <c r="I308" s="54"/>
      <c r="J308" s="54">
        <v>0</v>
      </c>
      <c r="K308" s="54">
        <v>0</v>
      </c>
      <c r="L308" s="54">
        <v>0</v>
      </c>
      <c r="M308" s="54">
        <v>0</v>
      </c>
      <c r="N308" s="54">
        <v>0</v>
      </c>
      <c r="O308" s="54">
        <f t="shared" si="140"/>
        <v>0</v>
      </c>
      <c r="P308" s="54">
        <v>0</v>
      </c>
      <c r="Q308" s="99"/>
      <c r="R308" s="35"/>
      <c r="W308" s="32">
        <f t="shared" si="115"/>
        <v>0</v>
      </c>
    </row>
    <row r="309" ht="15.6" hidden="1" customHeight="1">
      <c r="A309" s="28"/>
      <c r="B309" s="57"/>
      <c r="C309" s="11"/>
      <c r="D309" s="11"/>
      <c r="E309" s="11"/>
      <c r="F309" s="11" t="s">
        <v>28</v>
      </c>
      <c r="G309" s="54">
        <f t="shared" si="139"/>
        <v>0</v>
      </c>
      <c r="H309" s="54">
        <f t="shared" si="139"/>
        <v>0</v>
      </c>
      <c r="I309" s="54"/>
      <c r="J309" s="54">
        <v>0</v>
      </c>
      <c r="K309" s="54">
        <v>0</v>
      </c>
      <c r="L309" s="54">
        <v>0</v>
      </c>
      <c r="M309" s="54">
        <v>0</v>
      </c>
      <c r="N309" s="54">
        <v>0</v>
      </c>
      <c r="O309" s="54">
        <f t="shared" si="140"/>
        <v>0</v>
      </c>
      <c r="P309" s="54">
        <v>0</v>
      </c>
      <c r="Q309" s="99"/>
      <c r="R309" s="35"/>
      <c r="W309" s="32">
        <f t="shared" si="115"/>
        <v>0</v>
      </c>
    </row>
    <row r="310" ht="15.6" hidden="1" customHeight="1">
      <c r="A310" s="28"/>
      <c r="B310" s="57"/>
      <c r="C310" s="11"/>
      <c r="D310" s="11"/>
      <c r="E310" s="11"/>
      <c r="F310" s="11" t="s">
        <v>29</v>
      </c>
      <c r="G310" s="54">
        <f t="shared" si="139"/>
        <v>0</v>
      </c>
      <c r="H310" s="54">
        <f t="shared" si="139"/>
        <v>0</v>
      </c>
      <c r="I310" s="54"/>
      <c r="J310" s="54">
        <v>0</v>
      </c>
      <c r="K310" s="54">
        <v>0</v>
      </c>
      <c r="L310" s="54">
        <v>0</v>
      </c>
      <c r="M310" s="54">
        <v>0</v>
      </c>
      <c r="N310" s="54">
        <v>0</v>
      </c>
      <c r="O310" s="54">
        <f t="shared" si="140"/>
        <v>0</v>
      </c>
      <c r="P310" s="54">
        <v>0</v>
      </c>
      <c r="Q310" s="99"/>
      <c r="R310" s="35"/>
      <c r="W310" s="32">
        <f t="shared" si="115"/>
        <v>0</v>
      </c>
    </row>
    <row r="311" ht="15.6" hidden="1" customHeight="1">
      <c r="A311" s="28"/>
      <c r="B311" s="57"/>
      <c r="C311" s="11"/>
      <c r="D311" s="11"/>
      <c r="E311" s="11"/>
      <c r="F311" s="11" t="s">
        <v>30</v>
      </c>
      <c r="G311" s="54">
        <f t="shared" si="139"/>
        <v>0</v>
      </c>
      <c r="H311" s="54">
        <f t="shared" si="139"/>
        <v>0</v>
      </c>
      <c r="I311" s="54"/>
      <c r="J311" s="54">
        <v>0</v>
      </c>
      <c r="K311" s="54">
        <v>0</v>
      </c>
      <c r="L311" s="54">
        <v>0</v>
      </c>
      <c r="M311" s="54">
        <v>0</v>
      </c>
      <c r="N311" s="54">
        <v>0</v>
      </c>
      <c r="O311" s="54">
        <f t="shared" si="140"/>
        <v>0</v>
      </c>
      <c r="P311" s="54">
        <v>0</v>
      </c>
      <c r="Q311" s="99"/>
      <c r="R311" s="35"/>
      <c r="W311" s="32">
        <f t="shared" si="115"/>
        <v>0</v>
      </c>
    </row>
    <row r="312" s="26" customFormat="1" ht="101.25" customHeight="1">
      <c r="A312" s="28"/>
      <c r="B312" s="57" t="s">
        <v>112</v>
      </c>
      <c r="C312" s="12" t="s">
        <v>70</v>
      </c>
      <c r="D312" s="12"/>
      <c r="E312" s="12"/>
      <c r="F312" s="11" t="s">
        <v>22</v>
      </c>
      <c r="G312" s="54">
        <f>SUM(G313:G318)</f>
        <v>1145</v>
      </c>
      <c r="H312" s="54">
        <f t="shared" ref="H312:P312" si="141">SUM(H313:H318)</f>
        <v>445</v>
      </c>
      <c r="I312" s="54">
        <f t="shared" si="141"/>
        <v>930</v>
      </c>
      <c r="J312" s="54">
        <f t="shared" si="141"/>
        <v>430</v>
      </c>
      <c r="K312" s="54">
        <f t="shared" si="141"/>
        <v>100</v>
      </c>
      <c r="L312" s="54">
        <f t="shared" si="141"/>
        <v>0</v>
      </c>
      <c r="M312" s="54">
        <f t="shared" si="141"/>
        <v>100</v>
      </c>
      <c r="N312" s="54">
        <f t="shared" si="141"/>
        <v>0</v>
      </c>
      <c r="O312" s="54">
        <f t="shared" si="141"/>
        <v>15</v>
      </c>
      <c r="P312" s="54">
        <f t="shared" si="141"/>
        <v>15</v>
      </c>
      <c r="Q312" s="99"/>
      <c r="R312" s="35"/>
      <c r="W312" s="32">
        <f t="shared" si="115"/>
        <v>500</v>
      </c>
      <c r="GB312" s="26"/>
      <c r="GC312" s="26"/>
      <c r="GD312" s="26"/>
      <c r="GE312" s="26"/>
      <c r="GF312" s="26"/>
      <c r="GG312" s="26"/>
      <c r="GH312" s="26"/>
      <c r="GI312" s="26"/>
      <c r="GJ312" s="26"/>
      <c r="GK312" s="26"/>
      <c r="GL312" s="26"/>
      <c r="GM312" s="26"/>
      <c r="GN312" s="26"/>
      <c r="GO312" s="26"/>
      <c r="GP312" s="26"/>
      <c r="GQ312" s="26"/>
      <c r="GR312" s="26"/>
      <c r="GS312" s="26"/>
      <c r="GT312" s="26"/>
      <c r="GU312" s="26"/>
      <c r="GV312" s="26"/>
      <c r="GW312" s="26"/>
      <c r="GX312" s="26"/>
      <c r="GY312" s="26"/>
      <c r="GZ312" s="26"/>
      <c r="HA312" s="26"/>
      <c r="HB312" s="26"/>
      <c r="HC312" s="26"/>
      <c r="HD312" s="26"/>
      <c r="HE312" s="26"/>
      <c r="HF312" s="26"/>
      <c r="HG312" s="26"/>
      <c r="HH312" s="26"/>
    </row>
    <row r="313" s="8" customFormat="1" ht="101.25" customHeight="1">
      <c r="A313" s="28"/>
      <c r="B313" s="57"/>
      <c r="C313" s="14"/>
      <c r="D313" s="14"/>
      <c r="E313" s="14"/>
      <c r="F313" s="11" t="s">
        <v>24</v>
      </c>
      <c r="G313" s="54">
        <f>I313+K313+M313+O313</f>
        <v>1145</v>
      </c>
      <c r="H313" s="54">
        <f>J313+L313+N313+P313</f>
        <v>445</v>
      </c>
      <c r="I313" s="54">
        <f>500+J313</f>
        <v>930</v>
      </c>
      <c r="J313" s="54">
        <v>430</v>
      </c>
      <c r="K313" s="54">
        <v>100</v>
      </c>
      <c r="L313" s="54">
        <v>0</v>
      </c>
      <c r="M313" s="54">
        <v>100</v>
      </c>
      <c r="N313" s="54">
        <v>0</v>
      </c>
      <c r="O313" s="54">
        <v>15</v>
      </c>
      <c r="P313" s="54">
        <f>O313</f>
        <v>15</v>
      </c>
      <c r="Q313" s="99"/>
      <c r="R313" s="81"/>
      <c r="W313" s="32">
        <f t="shared" si="115"/>
        <v>500</v>
      </c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</row>
    <row r="314" ht="124.5" customHeight="1">
      <c r="A314" s="28"/>
      <c r="B314" s="57"/>
      <c r="C314" s="16"/>
      <c r="D314" s="16"/>
      <c r="E314" s="16"/>
      <c r="F314" s="11" t="s">
        <v>26</v>
      </c>
      <c r="G314" s="61" t="s">
        <v>113</v>
      </c>
      <c r="H314" s="62"/>
      <c r="I314" s="62"/>
      <c r="J314" s="62"/>
      <c r="K314" s="62"/>
      <c r="L314" s="62"/>
      <c r="M314" s="62"/>
      <c r="N314" s="62"/>
      <c r="O314" s="62"/>
      <c r="P314" s="63"/>
      <c r="Q314" s="99"/>
      <c r="R314" s="35"/>
      <c r="W314" s="32">
        <f t="shared" si="115"/>
        <v>0</v>
      </c>
    </row>
    <row r="315" ht="15.6" hidden="1" customHeight="1">
      <c r="A315" s="28"/>
      <c r="B315" s="57"/>
      <c r="C315" s="11"/>
      <c r="D315" s="11"/>
      <c r="E315" s="11"/>
      <c r="F315" s="11" t="s">
        <v>27</v>
      </c>
      <c r="G315" s="65"/>
      <c r="H315" s="66"/>
      <c r="I315" s="66"/>
      <c r="J315" s="66"/>
      <c r="K315" s="66"/>
      <c r="L315" s="66"/>
      <c r="M315" s="66"/>
      <c r="N315" s="66"/>
      <c r="O315" s="66"/>
      <c r="P315" s="67"/>
      <c r="Q315" s="99"/>
      <c r="R315" s="35"/>
      <c r="W315" s="32">
        <f t="shared" si="115"/>
        <v>0</v>
      </c>
    </row>
    <row r="316" ht="15.6" hidden="1" customHeight="1">
      <c r="A316" s="28"/>
      <c r="B316" s="57"/>
      <c r="C316" s="11"/>
      <c r="D316" s="11"/>
      <c r="E316" s="12"/>
      <c r="F316" s="11" t="s">
        <v>28</v>
      </c>
      <c r="G316" s="65"/>
      <c r="H316" s="66"/>
      <c r="I316" s="66"/>
      <c r="J316" s="66"/>
      <c r="K316" s="66"/>
      <c r="L316" s="66"/>
      <c r="M316" s="66"/>
      <c r="N316" s="66"/>
      <c r="O316" s="66"/>
      <c r="P316" s="67"/>
      <c r="Q316" s="99"/>
      <c r="R316" s="35"/>
      <c r="W316" s="32">
        <f t="shared" si="115"/>
        <v>0</v>
      </c>
    </row>
    <row r="317" ht="15.6" hidden="1" customHeight="1">
      <c r="A317" s="28"/>
      <c r="B317" s="57"/>
      <c r="C317" s="11"/>
      <c r="D317" s="11"/>
      <c r="E317" s="14"/>
      <c r="F317" s="11" t="s">
        <v>29</v>
      </c>
      <c r="G317" s="65"/>
      <c r="H317" s="66"/>
      <c r="I317" s="66"/>
      <c r="J317" s="66"/>
      <c r="K317" s="66"/>
      <c r="L317" s="66"/>
      <c r="M317" s="66"/>
      <c r="N317" s="66"/>
      <c r="O317" s="66"/>
      <c r="P317" s="67"/>
      <c r="Q317" s="99"/>
      <c r="R317" s="35"/>
      <c r="W317" s="32">
        <f t="shared" si="115"/>
        <v>0</v>
      </c>
    </row>
    <row r="318" ht="27.600000000000001" hidden="1" customHeight="1">
      <c r="A318" s="28"/>
      <c r="B318" s="57"/>
      <c r="C318" s="11"/>
      <c r="D318" s="11"/>
      <c r="E318" s="16"/>
      <c r="F318" s="11" t="s">
        <v>30</v>
      </c>
      <c r="G318" s="68"/>
      <c r="H318" s="69"/>
      <c r="I318" s="69"/>
      <c r="J318" s="69"/>
      <c r="K318" s="69"/>
      <c r="L318" s="69"/>
      <c r="M318" s="69"/>
      <c r="N318" s="69"/>
      <c r="O318" s="69"/>
      <c r="P318" s="70"/>
      <c r="Q318" s="99"/>
      <c r="R318" s="35"/>
      <c r="W318" s="32">
        <f t="shared" ref="W318:W381" si="142">I318-J318</f>
        <v>0</v>
      </c>
    </row>
    <row r="319" s="26" customFormat="1">
      <c r="A319" s="28"/>
      <c r="B319" s="57" t="s">
        <v>114</v>
      </c>
      <c r="C319" s="12" t="s">
        <v>70</v>
      </c>
      <c r="D319" s="12"/>
      <c r="E319" s="12"/>
      <c r="F319" s="11" t="s">
        <v>22</v>
      </c>
      <c r="G319" s="54">
        <f>SUM(G320:G325)</f>
        <v>700</v>
      </c>
      <c r="H319" s="54">
        <f t="shared" ref="H319:P319" si="143">SUM(H320:H325)</f>
        <v>250</v>
      </c>
      <c r="I319" s="54">
        <f t="shared" si="143"/>
        <v>450</v>
      </c>
      <c r="J319" s="54">
        <f t="shared" si="143"/>
        <v>0</v>
      </c>
      <c r="K319" s="54">
        <f t="shared" si="143"/>
        <v>0</v>
      </c>
      <c r="L319" s="54">
        <f t="shared" si="143"/>
        <v>0</v>
      </c>
      <c r="M319" s="54">
        <f t="shared" si="143"/>
        <v>0</v>
      </c>
      <c r="N319" s="54">
        <f t="shared" si="143"/>
        <v>0</v>
      </c>
      <c r="O319" s="54">
        <f t="shared" si="143"/>
        <v>250</v>
      </c>
      <c r="P319" s="54">
        <f t="shared" si="143"/>
        <v>250</v>
      </c>
      <c r="Q319" s="99"/>
      <c r="R319" s="35"/>
      <c r="W319" s="32">
        <f t="shared" si="142"/>
        <v>450</v>
      </c>
      <c r="GB319" s="26"/>
      <c r="GC319" s="26"/>
      <c r="GD319" s="26"/>
      <c r="GE319" s="26"/>
      <c r="GF319" s="26"/>
      <c r="GG319" s="26"/>
      <c r="GH319" s="26"/>
      <c r="GI319" s="26"/>
      <c r="GJ319" s="26"/>
      <c r="GK319" s="26"/>
      <c r="GL319" s="26"/>
      <c r="GM319" s="26"/>
      <c r="GN319" s="26"/>
      <c r="GO319" s="26"/>
      <c r="GP319" s="26"/>
      <c r="GQ319" s="26"/>
      <c r="GR319" s="26"/>
      <c r="GS319" s="26"/>
      <c r="GT319" s="26"/>
      <c r="GU319" s="26"/>
      <c r="GV319" s="26"/>
      <c r="GW319" s="26"/>
      <c r="GX319" s="26"/>
      <c r="GY319" s="26"/>
      <c r="GZ319" s="26"/>
      <c r="HA319" s="26"/>
      <c r="HB319" s="26"/>
      <c r="HC319" s="26"/>
      <c r="HD319" s="26"/>
      <c r="HE319" s="26"/>
      <c r="HF319" s="26"/>
      <c r="HG319" s="26"/>
      <c r="HH319" s="26"/>
    </row>
    <row r="320" s="8" customFormat="1">
      <c r="A320" s="28"/>
      <c r="B320" s="57"/>
      <c r="C320" s="14"/>
      <c r="D320" s="14"/>
      <c r="E320" s="14"/>
      <c r="F320" s="11" t="s">
        <v>24</v>
      </c>
      <c r="G320" s="54">
        <f>I320+K320+M320+O320</f>
        <v>700</v>
      </c>
      <c r="H320" s="54">
        <f>J320+L320+N320+P320</f>
        <v>250</v>
      </c>
      <c r="I320" s="54">
        <f>450+J320</f>
        <v>450</v>
      </c>
      <c r="J320" s="54">
        <v>0</v>
      </c>
      <c r="K320" s="54">
        <v>0</v>
      </c>
      <c r="L320" s="54">
        <v>0</v>
      </c>
      <c r="M320" s="54">
        <v>0</v>
      </c>
      <c r="N320" s="54">
        <v>0</v>
      </c>
      <c r="O320" s="54">
        <v>250</v>
      </c>
      <c r="P320" s="54">
        <f>O320</f>
        <v>250</v>
      </c>
      <c r="Q320" s="99"/>
      <c r="R320" s="81"/>
      <c r="W320" s="32">
        <f t="shared" si="142"/>
        <v>450</v>
      </c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</row>
    <row r="321" ht="28.149999999999999" customHeight="1">
      <c r="A321" s="28"/>
      <c r="B321" s="57"/>
      <c r="C321" s="16"/>
      <c r="D321" s="16"/>
      <c r="E321" s="16"/>
      <c r="F321" s="11" t="s">
        <v>26</v>
      </c>
      <c r="G321" s="61" t="s">
        <v>113</v>
      </c>
      <c r="H321" s="62"/>
      <c r="I321" s="62"/>
      <c r="J321" s="62"/>
      <c r="K321" s="62"/>
      <c r="L321" s="62"/>
      <c r="M321" s="62"/>
      <c r="N321" s="62"/>
      <c r="O321" s="62"/>
      <c r="P321" s="63"/>
      <c r="Q321" s="99"/>
      <c r="R321" s="35"/>
      <c r="W321" s="32">
        <f t="shared" si="142"/>
        <v>0</v>
      </c>
    </row>
    <row r="322" ht="15.6" hidden="1" customHeight="1">
      <c r="A322" s="28"/>
      <c r="B322" s="57"/>
      <c r="C322" s="11"/>
      <c r="D322" s="11"/>
      <c r="E322" s="11"/>
      <c r="F322" s="11" t="s">
        <v>27</v>
      </c>
      <c r="G322" s="65"/>
      <c r="H322" s="66"/>
      <c r="I322" s="66"/>
      <c r="J322" s="66"/>
      <c r="K322" s="66"/>
      <c r="L322" s="66"/>
      <c r="M322" s="66"/>
      <c r="N322" s="66"/>
      <c r="O322" s="66"/>
      <c r="P322" s="67"/>
      <c r="Q322" s="99"/>
      <c r="R322" s="35"/>
      <c r="W322" s="32">
        <f t="shared" si="142"/>
        <v>0</v>
      </c>
    </row>
    <row r="323" ht="15.6" hidden="1" customHeight="1">
      <c r="A323" s="28"/>
      <c r="B323" s="57"/>
      <c r="C323" s="11"/>
      <c r="D323" s="11"/>
      <c r="E323" s="12"/>
      <c r="F323" s="11" t="s">
        <v>28</v>
      </c>
      <c r="G323" s="65"/>
      <c r="H323" s="66"/>
      <c r="I323" s="66"/>
      <c r="J323" s="66"/>
      <c r="K323" s="66"/>
      <c r="L323" s="66"/>
      <c r="M323" s="66"/>
      <c r="N323" s="66"/>
      <c r="O323" s="66"/>
      <c r="P323" s="67"/>
      <c r="Q323" s="99"/>
      <c r="R323" s="35"/>
      <c r="W323" s="32">
        <f t="shared" si="142"/>
        <v>0</v>
      </c>
    </row>
    <row r="324" ht="15.6" hidden="1" customHeight="1">
      <c r="A324" s="28"/>
      <c r="B324" s="57"/>
      <c r="C324" s="11"/>
      <c r="D324" s="11"/>
      <c r="E324" s="14"/>
      <c r="F324" s="11" t="s">
        <v>29</v>
      </c>
      <c r="G324" s="65"/>
      <c r="H324" s="66"/>
      <c r="I324" s="66"/>
      <c r="J324" s="66"/>
      <c r="K324" s="66"/>
      <c r="L324" s="66"/>
      <c r="M324" s="66"/>
      <c r="N324" s="66"/>
      <c r="O324" s="66"/>
      <c r="P324" s="67"/>
      <c r="Q324" s="99"/>
      <c r="R324" s="35"/>
      <c r="W324" s="32">
        <f t="shared" si="142"/>
        <v>0</v>
      </c>
    </row>
    <row r="325" ht="15.6" hidden="1" customHeight="1">
      <c r="A325" s="28"/>
      <c r="B325" s="57"/>
      <c r="C325" s="11"/>
      <c r="D325" s="11"/>
      <c r="E325" s="16"/>
      <c r="F325" s="11" t="s">
        <v>30</v>
      </c>
      <c r="G325" s="68"/>
      <c r="H325" s="69"/>
      <c r="I325" s="69"/>
      <c r="J325" s="69"/>
      <c r="K325" s="69"/>
      <c r="L325" s="69"/>
      <c r="M325" s="69"/>
      <c r="N325" s="69"/>
      <c r="O325" s="69"/>
      <c r="P325" s="70"/>
      <c r="Q325" s="99"/>
      <c r="R325" s="35"/>
      <c r="W325" s="32">
        <f t="shared" si="142"/>
        <v>0</v>
      </c>
    </row>
    <row r="326" s="26" customFormat="1">
      <c r="A326" s="28"/>
      <c r="B326" s="57" t="s">
        <v>115</v>
      </c>
      <c r="C326" s="12" t="s">
        <v>70</v>
      </c>
      <c r="D326" s="12"/>
      <c r="E326" s="12"/>
      <c r="F326" s="11" t="s">
        <v>22</v>
      </c>
      <c r="G326" s="54">
        <f>SUM(G327:G332)</f>
        <v>800</v>
      </c>
      <c r="H326" s="54">
        <f t="shared" ref="H326:P326" si="144">SUM(H327:H332)</f>
        <v>0</v>
      </c>
      <c r="I326" s="54">
        <f t="shared" si="144"/>
        <v>600</v>
      </c>
      <c r="J326" s="54">
        <f t="shared" si="144"/>
        <v>0</v>
      </c>
      <c r="K326" s="54">
        <f t="shared" si="144"/>
        <v>100</v>
      </c>
      <c r="L326" s="54">
        <f t="shared" si="144"/>
        <v>0</v>
      </c>
      <c r="M326" s="54">
        <f t="shared" si="144"/>
        <v>100</v>
      </c>
      <c r="N326" s="54">
        <f t="shared" si="144"/>
        <v>0</v>
      </c>
      <c r="O326" s="54">
        <f t="shared" si="144"/>
        <v>0</v>
      </c>
      <c r="P326" s="54">
        <f t="shared" si="144"/>
        <v>0</v>
      </c>
      <c r="Q326" s="99"/>
      <c r="R326" s="35"/>
      <c r="W326" s="32">
        <f t="shared" si="142"/>
        <v>600</v>
      </c>
      <c r="GB326" s="26"/>
      <c r="GC326" s="26"/>
      <c r="GD326" s="26"/>
      <c r="GE326" s="26"/>
      <c r="GF326" s="26"/>
      <c r="GG326" s="26"/>
      <c r="GH326" s="26"/>
      <c r="GI326" s="26"/>
      <c r="GJ326" s="26"/>
      <c r="GK326" s="26"/>
      <c r="GL326" s="26"/>
      <c r="GM326" s="26"/>
      <c r="GN326" s="26"/>
      <c r="GO326" s="26"/>
      <c r="GP326" s="26"/>
      <c r="GQ326" s="26"/>
      <c r="GR326" s="26"/>
      <c r="GS326" s="26"/>
      <c r="GT326" s="26"/>
      <c r="GU326" s="26"/>
      <c r="GV326" s="26"/>
      <c r="GW326" s="26"/>
      <c r="GX326" s="26"/>
      <c r="GY326" s="26"/>
      <c r="GZ326" s="26"/>
      <c r="HA326" s="26"/>
      <c r="HB326" s="26"/>
      <c r="HC326" s="26"/>
      <c r="HD326" s="26"/>
      <c r="HE326" s="26"/>
      <c r="HF326" s="26"/>
      <c r="HG326" s="26"/>
      <c r="HH326" s="26"/>
    </row>
    <row r="327" s="8" customFormat="1" ht="39" customHeight="1">
      <c r="A327" s="28"/>
      <c r="B327" s="57"/>
      <c r="C327" s="14"/>
      <c r="D327" s="14"/>
      <c r="E327" s="14"/>
      <c r="F327" s="11" t="s">
        <v>24</v>
      </c>
      <c r="G327" s="54">
        <f>I327+K327+M327+O327</f>
        <v>800</v>
      </c>
      <c r="H327" s="54">
        <f>J327+L327+N327+P327</f>
        <v>0</v>
      </c>
      <c r="I327" s="54">
        <f>600+J327</f>
        <v>600</v>
      </c>
      <c r="J327" s="54">
        <v>0</v>
      </c>
      <c r="K327" s="54">
        <v>100</v>
      </c>
      <c r="L327" s="54">
        <v>0</v>
      </c>
      <c r="M327" s="54">
        <v>100</v>
      </c>
      <c r="N327" s="54">
        <v>0</v>
      </c>
      <c r="O327" s="54">
        <v>0</v>
      </c>
      <c r="P327" s="54">
        <f>O327</f>
        <v>0</v>
      </c>
      <c r="Q327" s="99"/>
      <c r="R327" s="81"/>
      <c r="W327" s="32">
        <f t="shared" si="142"/>
        <v>600</v>
      </c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</row>
    <row r="328" ht="52.5" customHeight="1">
      <c r="A328" s="28"/>
      <c r="B328" s="57"/>
      <c r="C328" s="16"/>
      <c r="D328" s="16"/>
      <c r="E328" s="16"/>
      <c r="F328" s="11" t="s">
        <v>26</v>
      </c>
      <c r="G328" s="61" t="s">
        <v>116</v>
      </c>
      <c r="H328" s="62"/>
      <c r="I328" s="62"/>
      <c r="J328" s="62"/>
      <c r="K328" s="62"/>
      <c r="L328" s="62"/>
      <c r="M328" s="62"/>
      <c r="N328" s="62"/>
      <c r="O328" s="62"/>
      <c r="P328" s="63"/>
      <c r="Q328" s="99"/>
      <c r="R328" s="35"/>
      <c r="W328" s="32">
        <f t="shared" si="142"/>
        <v>0</v>
      </c>
    </row>
    <row r="329" ht="15.6" hidden="1" customHeight="1">
      <c r="A329" s="28"/>
      <c r="B329" s="57"/>
      <c r="C329" s="11"/>
      <c r="D329" s="11"/>
      <c r="E329" s="11"/>
      <c r="F329" s="11" t="s">
        <v>27</v>
      </c>
      <c r="G329" s="65"/>
      <c r="H329" s="66"/>
      <c r="I329" s="66"/>
      <c r="J329" s="66"/>
      <c r="K329" s="66"/>
      <c r="L329" s="66"/>
      <c r="M329" s="66"/>
      <c r="N329" s="66"/>
      <c r="O329" s="66"/>
      <c r="P329" s="67"/>
      <c r="Q329" s="99"/>
      <c r="R329" s="35"/>
      <c r="W329" s="32">
        <f t="shared" si="142"/>
        <v>0</v>
      </c>
    </row>
    <row r="330" ht="15.6" hidden="1" customHeight="1">
      <c r="A330" s="28"/>
      <c r="B330" s="57"/>
      <c r="C330" s="11"/>
      <c r="D330" s="11"/>
      <c r="E330" s="12"/>
      <c r="F330" s="11" t="s">
        <v>28</v>
      </c>
      <c r="G330" s="65"/>
      <c r="H330" s="66"/>
      <c r="I330" s="66"/>
      <c r="J330" s="66"/>
      <c r="K330" s="66"/>
      <c r="L330" s="66"/>
      <c r="M330" s="66"/>
      <c r="N330" s="66"/>
      <c r="O330" s="66"/>
      <c r="P330" s="67"/>
      <c r="Q330" s="99"/>
      <c r="R330" s="35"/>
      <c r="W330" s="32">
        <f t="shared" si="142"/>
        <v>0</v>
      </c>
    </row>
    <row r="331" ht="15.6" hidden="1" customHeight="1">
      <c r="A331" s="28"/>
      <c r="B331" s="57"/>
      <c r="C331" s="11"/>
      <c r="D331" s="11"/>
      <c r="E331" s="14"/>
      <c r="F331" s="11" t="s">
        <v>29</v>
      </c>
      <c r="G331" s="65"/>
      <c r="H331" s="66"/>
      <c r="I331" s="66"/>
      <c r="J331" s="66"/>
      <c r="K331" s="66"/>
      <c r="L331" s="66"/>
      <c r="M331" s="66"/>
      <c r="N331" s="66"/>
      <c r="O331" s="66"/>
      <c r="P331" s="67"/>
      <c r="Q331" s="99"/>
      <c r="R331" s="35"/>
      <c r="W331" s="32">
        <f t="shared" si="142"/>
        <v>0</v>
      </c>
    </row>
    <row r="332" ht="15.6" hidden="1" customHeight="1">
      <c r="A332" s="28"/>
      <c r="B332" s="57"/>
      <c r="C332" s="11"/>
      <c r="D332" s="11"/>
      <c r="E332" s="16"/>
      <c r="F332" s="11" t="s">
        <v>30</v>
      </c>
      <c r="G332" s="68"/>
      <c r="H332" s="69"/>
      <c r="I332" s="69"/>
      <c r="J332" s="69"/>
      <c r="K332" s="69"/>
      <c r="L332" s="69"/>
      <c r="M332" s="69"/>
      <c r="N332" s="69"/>
      <c r="O332" s="69"/>
      <c r="P332" s="70"/>
      <c r="Q332" s="99"/>
      <c r="R332" s="35"/>
      <c r="W332" s="32">
        <f t="shared" si="142"/>
        <v>0</v>
      </c>
    </row>
    <row r="333" s="26" customFormat="1">
      <c r="A333" s="28"/>
      <c r="B333" s="57" t="s">
        <v>117</v>
      </c>
      <c r="C333" s="12" t="s">
        <v>70</v>
      </c>
      <c r="D333" s="12"/>
      <c r="E333" s="12"/>
      <c r="F333" s="11" t="s">
        <v>22</v>
      </c>
      <c r="G333" s="54">
        <f t="shared" ref="G333:P333" si="145">SUM(G334:G339)</f>
        <v>1940</v>
      </c>
      <c r="H333" s="54">
        <f t="shared" si="145"/>
        <v>940</v>
      </c>
      <c r="I333" s="54">
        <f t="shared" si="145"/>
        <v>1690</v>
      </c>
      <c r="J333" s="54">
        <f t="shared" si="145"/>
        <v>890</v>
      </c>
      <c r="K333" s="54">
        <f t="shared" si="145"/>
        <v>0</v>
      </c>
      <c r="L333" s="54">
        <f t="shared" si="145"/>
        <v>0</v>
      </c>
      <c r="M333" s="54">
        <f t="shared" si="145"/>
        <v>200</v>
      </c>
      <c r="N333" s="54">
        <f t="shared" si="145"/>
        <v>0</v>
      </c>
      <c r="O333" s="54">
        <f t="shared" si="145"/>
        <v>50</v>
      </c>
      <c r="P333" s="54">
        <f t="shared" si="145"/>
        <v>50</v>
      </c>
      <c r="Q333" s="99"/>
      <c r="R333" s="35"/>
      <c r="W333" s="32">
        <f t="shared" si="142"/>
        <v>800</v>
      </c>
      <c r="GB333" s="26"/>
      <c r="GC333" s="26"/>
      <c r="GD333" s="26"/>
      <c r="GE333" s="26"/>
      <c r="GF333" s="26"/>
      <c r="GG333" s="26"/>
      <c r="GH333" s="26"/>
      <c r="GI333" s="26"/>
      <c r="GJ333" s="26"/>
      <c r="GK333" s="26"/>
      <c r="GL333" s="26"/>
      <c r="GM333" s="26"/>
      <c r="GN333" s="26"/>
      <c r="GO333" s="26"/>
      <c r="GP333" s="26"/>
      <c r="GQ333" s="26"/>
      <c r="GR333" s="26"/>
      <c r="GS333" s="26"/>
      <c r="GT333" s="26"/>
      <c r="GU333" s="26"/>
      <c r="GV333" s="26"/>
      <c r="GW333" s="26"/>
      <c r="GX333" s="26"/>
      <c r="GY333" s="26"/>
      <c r="GZ333" s="26"/>
      <c r="HA333" s="26"/>
      <c r="HB333" s="26"/>
      <c r="HC333" s="26"/>
      <c r="HD333" s="26"/>
      <c r="HE333" s="26"/>
      <c r="HF333" s="26"/>
      <c r="HG333" s="26"/>
      <c r="HH333" s="26"/>
    </row>
    <row r="334" s="8" customFormat="1" ht="24" customHeight="1">
      <c r="A334" s="28"/>
      <c r="B334" s="57"/>
      <c r="C334" s="14"/>
      <c r="D334" s="14"/>
      <c r="E334" s="14"/>
      <c r="F334" s="11" t="s">
        <v>24</v>
      </c>
      <c r="G334" s="54">
        <f>I334+K334+M334+O334</f>
        <v>1940</v>
      </c>
      <c r="H334" s="54">
        <f>J334+L334+N334+P334</f>
        <v>940</v>
      </c>
      <c r="I334" s="54">
        <f>800+J334</f>
        <v>1690</v>
      </c>
      <c r="J334" s="54">
        <f>890</f>
        <v>890</v>
      </c>
      <c r="K334" s="54">
        <v>0</v>
      </c>
      <c r="L334" s="54">
        <v>0</v>
      </c>
      <c r="M334" s="54">
        <f>200</f>
        <v>200</v>
      </c>
      <c r="N334" s="54">
        <v>0</v>
      </c>
      <c r="O334" s="54">
        <v>50</v>
      </c>
      <c r="P334" s="54">
        <v>50</v>
      </c>
      <c r="Q334" s="99"/>
      <c r="R334" s="81"/>
      <c r="W334" s="32">
        <f t="shared" si="142"/>
        <v>800</v>
      </c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</row>
    <row r="335" ht="40.5" customHeight="1">
      <c r="A335" s="28"/>
      <c r="B335" s="57"/>
      <c r="C335" s="16"/>
      <c r="D335" s="16"/>
      <c r="E335" s="16"/>
      <c r="F335" s="11" t="s">
        <v>26</v>
      </c>
      <c r="G335" s="61" t="s">
        <v>116</v>
      </c>
      <c r="H335" s="62"/>
      <c r="I335" s="62"/>
      <c r="J335" s="62"/>
      <c r="K335" s="62"/>
      <c r="L335" s="62"/>
      <c r="M335" s="62"/>
      <c r="N335" s="62"/>
      <c r="O335" s="62"/>
      <c r="P335" s="63"/>
      <c r="Q335" s="99"/>
      <c r="R335" s="35"/>
      <c r="W335" s="32">
        <f t="shared" si="142"/>
        <v>0</v>
      </c>
    </row>
    <row r="336" ht="15.6" hidden="1" customHeight="1">
      <c r="A336" s="28"/>
      <c r="B336" s="57"/>
      <c r="C336" s="11"/>
      <c r="D336" s="11"/>
      <c r="E336" s="11"/>
      <c r="F336" s="11" t="s">
        <v>27</v>
      </c>
      <c r="G336" s="65"/>
      <c r="H336" s="66"/>
      <c r="I336" s="66"/>
      <c r="J336" s="66"/>
      <c r="K336" s="66"/>
      <c r="L336" s="66"/>
      <c r="M336" s="66"/>
      <c r="N336" s="66"/>
      <c r="O336" s="66"/>
      <c r="P336" s="67"/>
      <c r="Q336" s="99"/>
      <c r="R336" s="35"/>
      <c r="W336" s="32">
        <f t="shared" si="142"/>
        <v>0</v>
      </c>
    </row>
    <row r="337" ht="15.6" hidden="1" customHeight="1">
      <c r="A337" s="28"/>
      <c r="B337" s="57"/>
      <c r="C337" s="11"/>
      <c r="D337" s="11"/>
      <c r="E337" s="12"/>
      <c r="F337" s="11" t="s">
        <v>28</v>
      </c>
      <c r="G337" s="65"/>
      <c r="H337" s="66"/>
      <c r="I337" s="66"/>
      <c r="J337" s="66"/>
      <c r="K337" s="66"/>
      <c r="L337" s="66"/>
      <c r="M337" s="66"/>
      <c r="N337" s="66"/>
      <c r="O337" s="66"/>
      <c r="P337" s="67"/>
      <c r="Q337" s="99"/>
      <c r="R337" s="35"/>
      <c r="W337" s="32">
        <f t="shared" si="142"/>
        <v>0</v>
      </c>
    </row>
    <row r="338" ht="15.6" hidden="1" customHeight="1">
      <c r="A338" s="28"/>
      <c r="B338" s="57"/>
      <c r="C338" s="11"/>
      <c r="D338" s="11"/>
      <c r="E338" s="14"/>
      <c r="F338" s="11" t="s">
        <v>29</v>
      </c>
      <c r="G338" s="65"/>
      <c r="H338" s="66"/>
      <c r="I338" s="66"/>
      <c r="J338" s="66"/>
      <c r="K338" s="66"/>
      <c r="L338" s="66"/>
      <c r="M338" s="66"/>
      <c r="N338" s="66"/>
      <c r="O338" s="66"/>
      <c r="P338" s="67"/>
      <c r="Q338" s="99"/>
      <c r="R338" s="35"/>
      <c r="W338" s="32">
        <f t="shared" si="142"/>
        <v>0</v>
      </c>
    </row>
    <row r="339" ht="15.6" hidden="1" customHeight="1">
      <c r="A339" s="28"/>
      <c r="B339" s="57"/>
      <c r="C339" s="11"/>
      <c r="D339" s="11"/>
      <c r="E339" s="16"/>
      <c r="F339" s="11" t="s">
        <v>30</v>
      </c>
      <c r="G339" s="68"/>
      <c r="H339" s="69"/>
      <c r="I339" s="69"/>
      <c r="J339" s="69"/>
      <c r="K339" s="69"/>
      <c r="L339" s="69"/>
      <c r="M339" s="69"/>
      <c r="N339" s="69"/>
      <c r="O339" s="69"/>
      <c r="P339" s="70"/>
      <c r="Q339" s="99"/>
      <c r="R339" s="35"/>
      <c r="W339" s="32">
        <f t="shared" si="142"/>
        <v>0</v>
      </c>
    </row>
    <row r="340" s="26" customFormat="1">
      <c r="A340" s="28"/>
      <c r="B340" s="57" t="s">
        <v>118</v>
      </c>
      <c r="C340" s="72"/>
      <c r="D340" s="12" t="s">
        <v>56</v>
      </c>
      <c r="E340" s="12" t="s">
        <v>94</v>
      </c>
      <c r="F340" s="11" t="s">
        <v>22</v>
      </c>
      <c r="G340" s="54">
        <f>SUM(G341:G351)</f>
        <v>11133.4</v>
      </c>
      <c r="H340" s="54">
        <f t="shared" ref="H340:P340" si="146">SUM(H341:H351)</f>
        <v>2709.5</v>
      </c>
      <c r="I340" s="54">
        <f t="shared" si="146"/>
        <v>11058.200000000001</v>
      </c>
      <c r="J340" s="54">
        <f t="shared" si="146"/>
        <v>2634.3000000000002</v>
      </c>
      <c r="K340" s="54">
        <f t="shared" si="146"/>
        <v>0</v>
      </c>
      <c r="L340" s="54">
        <f t="shared" si="146"/>
        <v>0</v>
      </c>
      <c r="M340" s="54">
        <f t="shared" si="146"/>
        <v>0</v>
      </c>
      <c r="N340" s="54">
        <f t="shared" si="146"/>
        <v>0</v>
      </c>
      <c r="O340" s="54">
        <f t="shared" si="146"/>
        <v>75.200000000000003</v>
      </c>
      <c r="P340" s="54">
        <f t="shared" si="146"/>
        <v>75.200000000000003</v>
      </c>
      <c r="Q340" s="99"/>
      <c r="R340" s="35"/>
      <c r="W340" s="32">
        <f t="shared" si="142"/>
        <v>8423.9000000000015</v>
      </c>
      <c r="GB340" s="26"/>
      <c r="GC340" s="26"/>
      <c r="GD340" s="26"/>
      <c r="GE340" s="26"/>
      <c r="GF340" s="26"/>
      <c r="GG340" s="26"/>
      <c r="GH340" s="26"/>
      <c r="GI340" s="26"/>
      <c r="GJ340" s="26"/>
      <c r="GK340" s="26"/>
      <c r="GL340" s="26"/>
      <c r="GM340" s="26"/>
      <c r="GN340" s="26"/>
      <c r="GO340" s="26"/>
      <c r="GP340" s="26"/>
      <c r="GQ340" s="26"/>
      <c r="GR340" s="26"/>
      <c r="GS340" s="26"/>
      <c r="GT340" s="26"/>
      <c r="GU340" s="26"/>
      <c r="GV340" s="26"/>
      <c r="GW340" s="26"/>
      <c r="GX340" s="26"/>
      <c r="GY340" s="26"/>
      <c r="GZ340" s="26"/>
      <c r="HA340" s="26"/>
      <c r="HB340" s="26"/>
      <c r="HC340" s="26"/>
      <c r="HD340" s="26"/>
      <c r="HE340" s="26"/>
      <c r="HF340" s="26"/>
      <c r="HG340" s="26"/>
      <c r="HH340" s="26"/>
    </row>
    <row r="341" s="8" customFormat="1">
      <c r="A341" s="28"/>
      <c r="B341" s="57"/>
      <c r="C341" s="11" t="s">
        <v>59</v>
      </c>
      <c r="D341" s="14"/>
      <c r="E341" s="14"/>
      <c r="F341" s="11" t="s">
        <v>24</v>
      </c>
      <c r="G341" s="54">
        <f t="shared" ref="G341:H351" si="147">I341+K341+M341+O341</f>
        <v>362.10000000000002</v>
      </c>
      <c r="H341" s="54">
        <f t="shared" si="147"/>
        <v>248</v>
      </c>
      <c r="I341" s="54">
        <v>314.10000000000002</v>
      </c>
      <c r="J341" s="54">
        <v>200</v>
      </c>
      <c r="K341" s="54"/>
      <c r="L341" s="54">
        <v>0</v>
      </c>
      <c r="M341" s="54">
        <v>0</v>
      </c>
      <c r="N341" s="54">
        <v>0</v>
      </c>
      <c r="O341" s="54">
        <v>48</v>
      </c>
      <c r="P341" s="54">
        <f>O341</f>
        <v>48</v>
      </c>
      <c r="Q341" s="99"/>
      <c r="R341" s="81"/>
      <c r="W341" s="32">
        <f t="shared" si="142"/>
        <v>114.10000000000002</v>
      </c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</row>
    <row r="342" ht="15.6" customHeight="1">
      <c r="A342" s="28"/>
      <c r="B342" s="57"/>
      <c r="C342" s="14" t="s">
        <v>119</v>
      </c>
      <c r="D342" s="14"/>
      <c r="E342" s="14"/>
      <c r="F342" s="11" t="s">
        <v>26</v>
      </c>
      <c r="G342" s="54">
        <f t="shared" si="147"/>
        <v>1470.4000000000001</v>
      </c>
      <c r="H342" s="54">
        <f t="shared" si="147"/>
        <v>314.10000000000002</v>
      </c>
      <c r="I342" s="54">
        <f>314.10000000000002+1156.3</f>
        <v>1470.4000000000001</v>
      </c>
      <c r="J342" s="54">
        <v>314.10000000000002</v>
      </c>
      <c r="K342" s="54">
        <v>0</v>
      </c>
      <c r="L342" s="54">
        <v>0</v>
      </c>
      <c r="M342" s="54">
        <f t="shared" ref="M342:M346" si="148">1.2*M341</f>
        <v>0</v>
      </c>
      <c r="N342" s="54">
        <v>0</v>
      </c>
      <c r="O342" s="54">
        <v>0</v>
      </c>
      <c r="P342" s="54">
        <v>0</v>
      </c>
      <c r="Q342" s="99"/>
      <c r="R342" s="81"/>
      <c r="W342" s="32">
        <f t="shared" si="142"/>
        <v>1156.3000000000002</v>
      </c>
    </row>
    <row r="343" ht="15.6" customHeight="1">
      <c r="A343" s="28"/>
      <c r="B343" s="57"/>
      <c r="C343" s="14"/>
      <c r="D343" s="14"/>
      <c r="E343" s="14"/>
      <c r="F343" s="11" t="s">
        <v>27</v>
      </c>
      <c r="G343" s="54">
        <f t="shared" si="147"/>
        <v>314.10000000000002</v>
      </c>
      <c r="H343" s="54">
        <f t="shared" si="147"/>
        <v>314.10000000000002</v>
      </c>
      <c r="I343" s="54">
        <f>J343</f>
        <v>314.10000000000002</v>
      </c>
      <c r="J343" s="54">
        <v>314.10000000000002</v>
      </c>
      <c r="K343" s="54">
        <v>0</v>
      </c>
      <c r="L343" s="54">
        <v>0</v>
      </c>
      <c r="M343" s="54">
        <f t="shared" si="148"/>
        <v>0</v>
      </c>
      <c r="N343" s="54">
        <v>0</v>
      </c>
      <c r="O343" s="54">
        <v>0</v>
      </c>
      <c r="P343" s="54">
        <v>0</v>
      </c>
      <c r="Q343" s="99"/>
      <c r="R343" s="35"/>
      <c r="W343" s="32">
        <f t="shared" si="142"/>
        <v>0</v>
      </c>
    </row>
    <row r="344" ht="15.75">
      <c r="A344" s="28"/>
      <c r="B344" s="57"/>
      <c r="C344" s="14"/>
      <c r="D344" s="14"/>
      <c r="E344" s="14"/>
      <c r="F344" s="11" t="s">
        <v>28</v>
      </c>
      <c r="G344" s="54">
        <f t="shared" si="147"/>
        <v>314.10000000000002</v>
      </c>
      <c r="H344" s="54">
        <f t="shared" si="147"/>
        <v>0</v>
      </c>
      <c r="I344" s="54">
        <f t="shared" ref="I344:I351" si="149">I343</f>
        <v>314.10000000000002</v>
      </c>
      <c r="J344" s="54">
        <f>314.10000000000002-314.10000000000002</f>
        <v>0</v>
      </c>
      <c r="K344" s="54">
        <v>0</v>
      </c>
      <c r="L344" s="54">
        <v>0</v>
      </c>
      <c r="M344" s="54">
        <f t="shared" si="148"/>
        <v>0</v>
      </c>
      <c r="N344" s="54">
        <v>0</v>
      </c>
      <c r="O344" s="54">
        <v>0</v>
      </c>
      <c r="P344" s="54">
        <v>0</v>
      </c>
      <c r="Q344" s="99"/>
      <c r="R344" s="35"/>
      <c r="W344" s="32">
        <f t="shared" si="142"/>
        <v>314.10000000000002</v>
      </c>
    </row>
    <row r="345" ht="15.75">
      <c r="A345" s="28"/>
      <c r="B345" s="57"/>
      <c r="C345" s="14"/>
      <c r="D345" s="14"/>
      <c r="E345" s="14"/>
      <c r="F345" s="11" t="s">
        <v>29</v>
      </c>
      <c r="G345" s="54">
        <f t="shared" si="147"/>
        <v>329.5</v>
      </c>
      <c r="H345" s="54">
        <f t="shared" si="147"/>
        <v>329.5</v>
      </c>
      <c r="I345" s="54">
        <f t="shared" si="149"/>
        <v>314.10000000000002</v>
      </c>
      <c r="J345" s="54">
        <v>314.10000000000002</v>
      </c>
      <c r="K345" s="54">
        <v>0</v>
      </c>
      <c r="L345" s="54">
        <v>0</v>
      </c>
      <c r="M345" s="54">
        <f t="shared" si="148"/>
        <v>0</v>
      </c>
      <c r="N345" s="54">
        <v>0</v>
      </c>
      <c r="O345" s="54">
        <v>15.4</v>
      </c>
      <c r="P345" s="54">
        <v>15.4</v>
      </c>
      <c r="Q345" s="99"/>
      <c r="R345" s="35"/>
      <c r="W345" s="32">
        <f t="shared" si="142"/>
        <v>0</v>
      </c>
    </row>
    <row r="346" ht="15.75">
      <c r="A346" s="28"/>
      <c r="B346" s="57"/>
      <c r="C346" s="14"/>
      <c r="D346" s="14"/>
      <c r="E346" s="14"/>
      <c r="F346" s="11" t="s">
        <v>30</v>
      </c>
      <c r="G346" s="54">
        <f t="shared" si="147"/>
        <v>705.70000000000005</v>
      </c>
      <c r="H346" s="54">
        <f t="shared" si="147"/>
        <v>342</v>
      </c>
      <c r="I346" s="54">
        <f>I345+141.59999999999999+250</f>
        <v>705.70000000000005</v>
      </c>
      <c r="J346" s="54">
        <v>342</v>
      </c>
      <c r="K346" s="54">
        <v>0</v>
      </c>
      <c r="L346" s="54">
        <v>0</v>
      </c>
      <c r="M346" s="54">
        <f t="shared" si="148"/>
        <v>0</v>
      </c>
      <c r="N346" s="54">
        <v>0</v>
      </c>
      <c r="O346" s="54">
        <v>0</v>
      </c>
      <c r="P346" s="54">
        <v>0</v>
      </c>
      <c r="Q346" s="99"/>
      <c r="R346" s="60"/>
      <c r="W346" s="32">
        <f t="shared" si="142"/>
        <v>363.70000000000005</v>
      </c>
    </row>
    <row r="347" ht="15.75">
      <c r="A347" s="28"/>
      <c r="B347" s="57"/>
      <c r="C347" s="14"/>
      <c r="D347" s="14"/>
      <c r="E347" s="14"/>
      <c r="F347" s="11" t="s">
        <v>31</v>
      </c>
      <c r="G347" s="54">
        <f t="shared" si="147"/>
        <v>717.5</v>
      </c>
      <c r="H347" s="54">
        <f t="shared" si="147"/>
        <v>241.80000000000001</v>
      </c>
      <c r="I347" s="54">
        <f t="shared" si="149"/>
        <v>705.70000000000005</v>
      </c>
      <c r="J347" s="54">
        <v>230</v>
      </c>
      <c r="K347" s="54">
        <v>0</v>
      </c>
      <c r="L347" s="54">
        <v>0</v>
      </c>
      <c r="M347" s="54">
        <v>0</v>
      </c>
      <c r="N347" s="54">
        <v>0</v>
      </c>
      <c r="O347" s="54">
        <v>11.800000000000001</v>
      </c>
      <c r="P347" s="54">
        <v>11.800000000000001</v>
      </c>
      <c r="Q347" s="99"/>
      <c r="R347" s="35"/>
      <c r="W347" s="32">
        <f t="shared" si="142"/>
        <v>475.70000000000005</v>
      </c>
    </row>
    <row r="348" ht="15.75">
      <c r="A348" s="28"/>
      <c r="B348" s="57"/>
      <c r="C348" s="14"/>
      <c r="D348" s="14"/>
      <c r="E348" s="14"/>
      <c r="F348" s="11" t="s">
        <v>32</v>
      </c>
      <c r="G348" s="54">
        <f t="shared" si="147"/>
        <v>1730</v>
      </c>
      <c r="H348" s="54">
        <f t="shared" si="147"/>
        <v>230</v>
      </c>
      <c r="I348" s="54">
        <f>1000+500+230</f>
        <v>1730</v>
      </c>
      <c r="J348" s="54">
        <v>230</v>
      </c>
      <c r="K348" s="54">
        <v>0</v>
      </c>
      <c r="L348" s="54">
        <v>0</v>
      </c>
      <c r="M348" s="54">
        <v>0</v>
      </c>
      <c r="N348" s="54">
        <v>0</v>
      </c>
      <c r="O348" s="54">
        <f>P348</f>
        <v>0</v>
      </c>
      <c r="P348" s="54">
        <v>0</v>
      </c>
      <c r="Q348" s="99"/>
      <c r="R348" s="35"/>
      <c r="W348" s="32">
        <f t="shared" si="142"/>
        <v>1500</v>
      </c>
    </row>
    <row r="349" s="1" customFormat="1">
      <c r="A349" s="28"/>
      <c r="B349" s="57"/>
      <c r="C349" s="14"/>
      <c r="D349" s="14"/>
      <c r="E349" s="14"/>
      <c r="F349" s="11" t="s">
        <v>33</v>
      </c>
      <c r="G349" s="54">
        <f t="shared" si="147"/>
        <v>1730</v>
      </c>
      <c r="H349" s="54">
        <f t="shared" si="147"/>
        <v>230</v>
      </c>
      <c r="I349" s="54">
        <f t="shared" si="149"/>
        <v>1730</v>
      </c>
      <c r="J349" s="54">
        <v>230</v>
      </c>
      <c r="K349" s="54">
        <v>0</v>
      </c>
      <c r="L349" s="54">
        <v>0</v>
      </c>
      <c r="M349" s="54">
        <v>0</v>
      </c>
      <c r="N349" s="54">
        <v>0</v>
      </c>
      <c r="O349" s="54">
        <v>0</v>
      </c>
      <c r="P349" s="54">
        <v>0</v>
      </c>
      <c r="Q349" s="99"/>
      <c r="R349" s="35"/>
      <c r="W349" s="32">
        <f t="shared" si="142"/>
        <v>1500</v>
      </c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</row>
    <row r="350" s="1" customFormat="1">
      <c r="A350" s="28"/>
      <c r="B350" s="57"/>
      <c r="C350" s="14"/>
      <c r="D350" s="14"/>
      <c r="E350" s="14"/>
      <c r="F350" s="11" t="s">
        <v>34</v>
      </c>
      <c r="G350" s="54">
        <f t="shared" si="147"/>
        <v>1730</v>
      </c>
      <c r="H350" s="54">
        <f t="shared" si="147"/>
        <v>230</v>
      </c>
      <c r="I350" s="54">
        <f t="shared" si="149"/>
        <v>1730</v>
      </c>
      <c r="J350" s="54">
        <v>230</v>
      </c>
      <c r="K350" s="54">
        <v>0</v>
      </c>
      <c r="L350" s="54">
        <v>0</v>
      </c>
      <c r="M350" s="54">
        <v>0</v>
      </c>
      <c r="N350" s="54">
        <v>0</v>
      </c>
      <c r="O350" s="54">
        <v>0</v>
      </c>
      <c r="P350" s="54">
        <v>0</v>
      </c>
      <c r="Q350" s="99"/>
      <c r="R350" s="35"/>
      <c r="W350" s="32">
        <f t="shared" si="142"/>
        <v>1500</v>
      </c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</row>
    <row r="351" s="1" customFormat="1">
      <c r="A351" s="41"/>
      <c r="B351" s="57"/>
      <c r="C351" s="16"/>
      <c r="D351" s="16"/>
      <c r="E351" s="16"/>
      <c r="F351" s="11" t="s">
        <v>35</v>
      </c>
      <c r="G351" s="54">
        <f t="shared" si="147"/>
        <v>1730</v>
      </c>
      <c r="H351" s="54">
        <f t="shared" si="147"/>
        <v>230</v>
      </c>
      <c r="I351" s="54">
        <f t="shared" si="149"/>
        <v>1730</v>
      </c>
      <c r="J351" s="54">
        <v>230</v>
      </c>
      <c r="K351" s="54">
        <v>0</v>
      </c>
      <c r="L351" s="54">
        <v>0</v>
      </c>
      <c r="M351" s="54">
        <v>0</v>
      </c>
      <c r="N351" s="54">
        <v>0</v>
      </c>
      <c r="O351" s="54">
        <v>0</v>
      </c>
      <c r="P351" s="54">
        <v>0</v>
      </c>
      <c r="Q351" s="99"/>
      <c r="R351" s="35"/>
      <c r="W351" s="32">
        <f t="shared" si="142"/>
        <v>1500</v>
      </c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</row>
    <row r="352" s="26" customFormat="1" ht="15.75" customHeight="1">
      <c r="A352" s="22"/>
      <c r="B352" s="73" t="s">
        <v>120</v>
      </c>
      <c r="C352" s="12"/>
      <c r="D352" s="12" t="s">
        <v>48</v>
      </c>
      <c r="E352" s="12" t="s">
        <v>121</v>
      </c>
      <c r="F352" s="11" t="s">
        <v>22</v>
      </c>
      <c r="G352" s="54">
        <f>SUM(G353:G363)</f>
        <v>17822.250000000004</v>
      </c>
      <c r="H352" s="54">
        <f t="shared" ref="H352:P352" si="150">SUM(H353:H363)</f>
        <v>17822.250000000004</v>
      </c>
      <c r="I352" s="54">
        <f t="shared" si="150"/>
        <v>17822.250000000004</v>
      </c>
      <c r="J352" s="54">
        <f t="shared" si="150"/>
        <v>17822.250000000004</v>
      </c>
      <c r="K352" s="54">
        <f t="shared" si="150"/>
        <v>0</v>
      </c>
      <c r="L352" s="54">
        <f t="shared" si="150"/>
        <v>0</v>
      </c>
      <c r="M352" s="54">
        <f t="shared" si="150"/>
        <v>0</v>
      </c>
      <c r="N352" s="54">
        <f t="shared" si="150"/>
        <v>0</v>
      </c>
      <c r="O352" s="54">
        <f t="shared" si="150"/>
        <v>0</v>
      </c>
      <c r="P352" s="54">
        <f t="shared" si="150"/>
        <v>0</v>
      </c>
      <c r="Q352" s="99" t="s">
        <v>122</v>
      </c>
      <c r="R352" s="35"/>
      <c r="W352" s="32">
        <f t="shared" si="142"/>
        <v>0</v>
      </c>
      <c r="GB352" s="26"/>
      <c r="GC352" s="26"/>
      <c r="GD352" s="26"/>
      <c r="GE352" s="26"/>
      <c r="GF352" s="26"/>
      <c r="GG352" s="26"/>
      <c r="GH352" s="26"/>
      <c r="GI352" s="26"/>
      <c r="GJ352" s="26"/>
      <c r="GK352" s="26"/>
      <c r="GL352" s="26"/>
      <c r="GM352" s="26"/>
      <c r="GN352" s="26"/>
      <c r="GO352" s="26"/>
      <c r="GP352" s="26"/>
      <c r="GQ352" s="26"/>
      <c r="GR352" s="26"/>
      <c r="GS352" s="26"/>
      <c r="GT352" s="26"/>
      <c r="GU352" s="26"/>
      <c r="GV352" s="26"/>
      <c r="GW352" s="26"/>
      <c r="GX352" s="26"/>
      <c r="GY352" s="26"/>
      <c r="GZ352" s="26"/>
      <c r="HA352" s="26"/>
      <c r="HB352" s="26"/>
      <c r="HC352" s="26"/>
      <c r="HD352" s="26"/>
      <c r="HE352" s="26"/>
      <c r="HF352" s="26"/>
      <c r="HG352" s="26"/>
      <c r="HH352" s="26"/>
    </row>
    <row r="353" s="8" customFormat="1" ht="15.6" customHeight="1">
      <c r="A353" s="28"/>
      <c r="B353" s="73"/>
      <c r="C353" s="14"/>
      <c r="D353" s="14"/>
      <c r="E353" s="14"/>
      <c r="F353" s="11" t="s">
        <v>24</v>
      </c>
      <c r="G353" s="54">
        <f t="shared" ref="G353:G363" si="151">I353+K353+M353+O353</f>
        <v>0</v>
      </c>
      <c r="H353" s="54">
        <f t="shared" ref="H353:H363" si="152">J353+L353+N353+P353</f>
        <v>0</v>
      </c>
      <c r="I353" s="54">
        <v>0</v>
      </c>
      <c r="J353" s="54">
        <v>0</v>
      </c>
      <c r="K353" s="54">
        <v>0</v>
      </c>
      <c r="L353" s="54">
        <v>0</v>
      </c>
      <c r="M353" s="54">
        <v>0</v>
      </c>
      <c r="N353" s="54">
        <v>0</v>
      </c>
      <c r="O353" s="54">
        <v>0</v>
      </c>
      <c r="P353" s="54">
        <v>0</v>
      </c>
      <c r="Q353" s="99"/>
      <c r="R353" s="81"/>
      <c r="W353" s="32">
        <f t="shared" si="142"/>
        <v>0</v>
      </c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</row>
    <row r="354" ht="15.75">
      <c r="A354" s="28"/>
      <c r="B354" s="73"/>
      <c r="C354" s="14"/>
      <c r="D354" s="14"/>
      <c r="E354" s="14"/>
      <c r="F354" s="11" t="s">
        <v>26</v>
      </c>
      <c r="G354" s="54">
        <f t="shared" si="151"/>
        <v>0</v>
      </c>
      <c r="H354" s="54">
        <f t="shared" si="152"/>
        <v>0</v>
      </c>
      <c r="I354" s="54">
        <v>0</v>
      </c>
      <c r="J354" s="54">
        <v>0</v>
      </c>
      <c r="K354" s="54">
        <v>0</v>
      </c>
      <c r="L354" s="54">
        <v>0</v>
      </c>
      <c r="M354" s="54">
        <v>0</v>
      </c>
      <c r="N354" s="54">
        <v>0</v>
      </c>
      <c r="O354" s="54">
        <v>0</v>
      </c>
      <c r="P354" s="54">
        <v>0</v>
      </c>
      <c r="Q354" s="99"/>
      <c r="R354" s="35"/>
      <c r="W354" s="32">
        <f t="shared" si="142"/>
        <v>0</v>
      </c>
    </row>
    <row r="355" ht="15" customHeight="1">
      <c r="A355" s="28"/>
      <c r="B355" s="73"/>
      <c r="C355" s="16"/>
      <c r="D355" s="14"/>
      <c r="E355" s="14"/>
      <c r="F355" s="11" t="s">
        <v>27</v>
      </c>
      <c r="G355" s="54">
        <f t="shared" si="151"/>
        <v>0</v>
      </c>
      <c r="H355" s="54">
        <f t="shared" si="152"/>
        <v>0</v>
      </c>
      <c r="I355" s="54">
        <v>0</v>
      </c>
      <c r="J355" s="54">
        <v>0</v>
      </c>
      <c r="K355" s="54">
        <v>0</v>
      </c>
      <c r="L355" s="54">
        <v>0</v>
      </c>
      <c r="M355" s="54">
        <v>0</v>
      </c>
      <c r="N355" s="54">
        <v>0</v>
      </c>
      <c r="O355" s="54">
        <v>0</v>
      </c>
      <c r="P355" s="54">
        <v>0</v>
      </c>
      <c r="Q355" s="99"/>
      <c r="R355" s="35"/>
      <c r="W355" s="32">
        <f t="shared" si="142"/>
        <v>0</v>
      </c>
    </row>
    <row r="356" ht="15.75">
      <c r="A356" s="28"/>
      <c r="B356" s="73"/>
      <c r="C356" s="11" t="s">
        <v>123</v>
      </c>
      <c r="D356" s="14"/>
      <c r="E356" s="14"/>
      <c r="F356" s="11" t="s">
        <v>28</v>
      </c>
      <c r="G356" s="54">
        <f t="shared" si="151"/>
        <v>2297.5999999999999</v>
      </c>
      <c r="H356" s="54">
        <f t="shared" si="152"/>
        <v>2297.5999999999999</v>
      </c>
      <c r="I356" s="54">
        <v>2297.5999999999999</v>
      </c>
      <c r="J356" s="54">
        <f>I356</f>
        <v>2297.5999999999999</v>
      </c>
      <c r="K356" s="54">
        <v>0</v>
      </c>
      <c r="L356" s="54">
        <v>0</v>
      </c>
      <c r="M356" s="54">
        <f t="shared" ref="M356:M358" si="153">M355</f>
        <v>0</v>
      </c>
      <c r="N356" s="54">
        <v>0</v>
      </c>
      <c r="O356" s="54">
        <v>0</v>
      </c>
      <c r="P356" s="54">
        <v>0</v>
      </c>
      <c r="Q356" s="99"/>
      <c r="R356" s="35"/>
      <c r="W356" s="32">
        <f t="shared" si="142"/>
        <v>0</v>
      </c>
    </row>
    <row r="357" ht="15.75">
      <c r="A357" s="28"/>
      <c r="B357" s="73"/>
      <c r="C357" s="11"/>
      <c r="D357" s="14"/>
      <c r="E357" s="14"/>
      <c r="F357" s="11" t="s">
        <v>29</v>
      </c>
      <c r="G357" s="54">
        <f t="shared" si="151"/>
        <v>2660.5</v>
      </c>
      <c r="H357" s="54">
        <f t="shared" si="152"/>
        <v>2660.5</v>
      </c>
      <c r="I357" s="54">
        <f t="shared" ref="I357:I360" si="154">J357</f>
        <v>2660.5</v>
      </c>
      <c r="J357" s="54">
        <v>2660.5</v>
      </c>
      <c r="K357" s="54">
        <v>0</v>
      </c>
      <c r="L357" s="54">
        <v>0</v>
      </c>
      <c r="M357" s="54">
        <f t="shared" si="153"/>
        <v>0</v>
      </c>
      <c r="N357" s="54">
        <v>0</v>
      </c>
      <c r="O357" s="54">
        <v>0</v>
      </c>
      <c r="P357" s="54">
        <v>0</v>
      </c>
      <c r="Q357" s="99"/>
      <c r="R357" s="35"/>
      <c r="W357" s="32">
        <f t="shared" si="142"/>
        <v>0</v>
      </c>
      <c r="Y357" s="59"/>
    </row>
    <row r="358" ht="15.75">
      <c r="A358" s="28"/>
      <c r="B358" s="73"/>
      <c r="C358" s="11"/>
      <c r="D358" s="14"/>
      <c r="E358" s="14"/>
      <c r="F358" s="11" t="s">
        <v>30</v>
      </c>
      <c r="G358" s="54">
        <f t="shared" si="151"/>
        <v>2220.25</v>
      </c>
      <c r="H358" s="54">
        <f t="shared" si="152"/>
        <v>2220.25</v>
      </c>
      <c r="I358" s="54">
        <f t="shared" si="154"/>
        <v>2220.25</v>
      </c>
      <c r="J358" s="54">
        <v>2220.25</v>
      </c>
      <c r="K358" s="54">
        <v>0</v>
      </c>
      <c r="L358" s="54">
        <v>0</v>
      </c>
      <c r="M358" s="54">
        <f t="shared" si="153"/>
        <v>0</v>
      </c>
      <c r="N358" s="54">
        <v>0</v>
      </c>
      <c r="O358" s="54">
        <v>0</v>
      </c>
      <c r="P358" s="54">
        <v>0</v>
      </c>
      <c r="Q358" s="99"/>
      <c r="R358" s="35"/>
      <c r="W358" s="32">
        <f t="shared" si="142"/>
        <v>0</v>
      </c>
    </row>
    <row r="359" ht="15.75">
      <c r="A359" s="28"/>
      <c r="B359" s="73"/>
      <c r="C359" s="11"/>
      <c r="D359" s="14"/>
      <c r="E359" s="14"/>
      <c r="F359" s="11" t="s">
        <v>31</v>
      </c>
      <c r="G359" s="54">
        <f t="shared" si="151"/>
        <v>2672.0999999999999</v>
      </c>
      <c r="H359" s="54">
        <f t="shared" si="152"/>
        <v>2672.0999999999999</v>
      </c>
      <c r="I359" s="54">
        <v>2672.0999999999999</v>
      </c>
      <c r="J359" s="54">
        <f>I359</f>
        <v>2672.0999999999999</v>
      </c>
      <c r="K359" s="54">
        <v>0</v>
      </c>
      <c r="L359" s="54">
        <v>0</v>
      </c>
      <c r="M359" s="54">
        <v>0</v>
      </c>
      <c r="N359" s="54">
        <v>0</v>
      </c>
      <c r="O359" s="54">
        <v>0</v>
      </c>
      <c r="P359" s="54">
        <v>0</v>
      </c>
      <c r="Q359" s="99"/>
      <c r="R359" s="35"/>
      <c r="W359" s="32">
        <f t="shared" si="142"/>
        <v>0</v>
      </c>
    </row>
    <row r="360" ht="15.75">
      <c r="A360" s="28"/>
      <c r="B360" s="73"/>
      <c r="C360" s="11"/>
      <c r="D360" s="14"/>
      <c r="E360" s="14"/>
      <c r="F360" s="11" t="s">
        <v>32</v>
      </c>
      <c r="G360" s="54">
        <f t="shared" si="151"/>
        <v>1987.7</v>
      </c>
      <c r="H360" s="54">
        <f t="shared" si="152"/>
        <v>1987.7</v>
      </c>
      <c r="I360" s="54">
        <f t="shared" si="154"/>
        <v>1987.7</v>
      </c>
      <c r="J360" s="54">
        <v>1987.7</v>
      </c>
      <c r="K360" s="54">
        <v>0</v>
      </c>
      <c r="L360" s="54">
        <v>0</v>
      </c>
      <c r="M360" s="54">
        <v>0</v>
      </c>
      <c r="N360" s="54">
        <v>0</v>
      </c>
      <c r="O360" s="54">
        <v>0</v>
      </c>
      <c r="P360" s="54">
        <v>0</v>
      </c>
      <c r="Q360" s="99"/>
      <c r="R360" s="35"/>
      <c r="W360" s="32">
        <f t="shared" si="142"/>
        <v>0</v>
      </c>
    </row>
    <row r="361" s="1" customFormat="1">
      <c r="A361" s="28"/>
      <c r="B361" s="73"/>
      <c r="C361" s="11"/>
      <c r="D361" s="14"/>
      <c r="E361" s="14"/>
      <c r="F361" s="11" t="s">
        <v>33</v>
      </c>
      <c r="G361" s="54">
        <f t="shared" si="151"/>
        <v>1994.7</v>
      </c>
      <c r="H361" s="54">
        <f t="shared" si="152"/>
        <v>1994.7</v>
      </c>
      <c r="I361" s="54">
        <v>1994.7</v>
      </c>
      <c r="J361" s="54">
        <v>1994.7</v>
      </c>
      <c r="K361" s="54">
        <v>0</v>
      </c>
      <c r="L361" s="54">
        <v>0</v>
      </c>
      <c r="M361" s="54">
        <v>0</v>
      </c>
      <c r="N361" s="54">
        <v>0</v>
      </c>
      <c r="O361" s="54">
        <v>0</v>
      </c>
      <c r="P361" s="54">
        <v>0</v>
      </c>
      <c r="Q361" s="99"/>
      <c r="R361" s="35"/>
      <c r="W361" s="32">
        <f t="shared" si="142"/>
        <v>0</v>
      </c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</row>
    <row r="362" s="1" customFormat="1">
      <c r="A362" s="28"/>
      <c r="B362" s="73"/>
      <c r="C362" s="11"/>
      <c r="D362" s="14"/>
      <c r="E362" s="14"/>
      <c r="F362" s="11" t="s">
        <v>34</v>
      </c>
      <c r="G362" s="54">
        <f t="shared" si="151"/>
        <v>1994.7</v>
      </c>
      <c r="H362" s="54">
        <f t="shared" si="152"/>
        <v>1994.7</v>
      </c>
      <c r="I362" s="54">
        <f t="shared" ref="I362:I363" si="155">I361</f>
        <v>1994.7</v>
      </c>
      <c r="J362" s="54">
        <v>1994.7</v>
      </c>
      <c r="K362" s="54">
        <v>0</v>
      </c>
      <c r="L362" s="54">
        <v>0</v>
      </c>
      <c r="M362" s="54">
        <v>0</v>
      </c>
      <c r="N362" s="54">
        <v>0</v>
      </c>
      <c r="O362" s="54">
        <v>0</v>
      </c>
      <c r="P362" s="54">
        <v>0</v>
      </c>
      <c r="Q362" s="99"/>
      <c r="R362" s="35"/>
      <c r="W362" s="32">
        <f t="shared" si="142"/>
        <v>0</v>
      </c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</row>
    <row r="363" s="1" customFormat="1">
      <c r="A363" s="41"/>
      <c r="B363" s="74"/>
      <c r="C363" s="11"/>
      <c r="D363" s="16"/>
      <c r="E363" s="16"/>
      <c r="F363" s="11" t="s">
        <v>35</v>
      </c>
      <c r="G363" s="54">
        <f t="shared" si="151"/>
        <v>1994.7</v>
      </c>
      <c r="H363" s="54">
        <f t="shared" si="152"/>
        <v>1994.7</v>
      </c>
      <c r="I363" s="54">
        <f t="shared" si="155"/>
        <v>1994.7</v>
      </c>
      <c r="J363" s="54">
        <v>1994.7</v>
      </c>
      <c r="K363" s="54">
        <v>0</v>
      </c>
      <c r="L363" s="54">
        <v>0</v>
      </c>
      <c r="M363" s="54">
        <v>0</v>
      </c>
      <c r="N363" s="54">
        <v>0</v>
      </c>
      <c r="O363" s="54">
        <v>0</v>
      </c>
      <c r="P363" s="54">
        <v>0</v>
      </c>
      <c r="Q363" s="99"/>
      <c r="R363" s="35"/>
      <c r="W363" s="32">
        <f t="shared" si="142"/>
        <v>0</v>
      </c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</row>
    <row r="364" s="26" customFormat="1" ht="15.75" customHeight="1">
      <c r="A364" s="22"/>
      <c r="B364" s="73" t="s">
        <v>124</v>
      </c>
      <c r="C364" s="12"/>
      <c r="D364" s="12" t="s">
        <v>48</v>
      </c>
      <c r="E364" s="11" t="s">
        <v>121</v>
      </c>
      <c r="F364" s="11" t="s">
        <v>22</v>
      </c>
      <c r="G364" s="54">
        <f>SUM(G365:G375)</f>
        <v>13666.500000000002</v>
      </c>
      <c r="H364" s="54">
        <f t="shared" ref="H364:P364" si="156">SUM(H365:H375)</f>
        <v>13666.500000000002</v>
      </c>
      <c r="I364" s="54">
        <f>SUM(I365:I375)</f>
        <v>13666.500000000002</v>
      </c>
      <c r="J364" s="54">
        <f t="shared" si="156"/>
        <v>13666.500000000002</v>
      </c>
      <c r="K364" s="54">
        <f t="shared" si="156"/>
        <v>0</v>
      </c>
      <c r="L364" s="54">
        <f t="shared" si="156"/>
        <v>0</v>
      </c>
      <c r="M364" s="54">
        <f t="shared" si="156"/>
        <v>0</v>
      </c>
      <c r="N364" s="54">
        <f t="shared" si="156"/>
        <v>0</v>
      </c>
      <c r="O364" s="54">
        <f t="shared" si="156"/>
        <v>0</v>
      </c>
      <c r="P364" s="54">
        <f t="shared" si="156"/>
        <v>0</v>
      </c>
      <c r="Q364" s="99" t="s">
        <v>125</v>
      </c>
      <c r="R364" s="35"/>
      <c r="W364" s="32">
        <f t="shared" si="142"/>
        <v>0</v>
      </c>
      <c r="GB364" s="26"/>
      <c r="GC364" s="26"/>
      <c r="GD364" s="26"/>
      <c r="GE364" s="26"/>
      <c r="GF364" s="26"/>
      <c r="GG364" s="26"/>
      <c r="GH364" s="26"/>
      <c r="GI364" s="26"/>
      <c r="GJ364" s="26"/>
      <c r="GK364" s="26"/>
      <c r="GL364" s="26"/>
      <c r="GM364" s="26"/>
      <c r="GN364" s="26"/>
      <c r="GO364" s="26"/>
      <c r="GP364" s="26"/>
      <c r="GQ364" s="26"/>
      <c r="GR364" s="26"/>
      <c r="GS364" s="26"/>
      <c r="GT364" s="26"/>
      <c r="GU364" s="26"/>
      <c r="GV364" s="26"/>
      <c r="GW364" s="26"/>
      <c r="GX364" s="26"/>
      <c r="GY364" s="26"/>
      <c r="GZ364" s="26"/>
      <c r="HA364" s="26"/>
      <c r="HB364" s="26"/>
      <c r="HC364" s="26"/>
      <c r="HD364" s="26"/>
      <c r="HE364" s="26"/>
      <c r="HF364" s="26"/>
      <c r="HG364" s="26"/>
      <c r="HH364" s="26"/>
    </row>
    <row r="365" s="8" customFormat="1">
      <c r="A365" s="28"/>
      <c r="B365" s="73"/>
      <c r="C365" s="14"/>
      <c r="D365" s="14"/>
      <c r="E365" s="11"/>
      <c r="F365" s="11" t="s">
        <v>24</v>
      </c>
      <c r="G365" s="54">
        <f t="shared" ref="G365:G375" si="157">I365+K365+M365+O365</f>
        <v>0</v>
      </c>
      <c r="H365" s="54">
        <f t="shared" ref="H365:H375" si="158">J365+L365+N365+P365</f>
        <v>0</v>
      </c>
      <c r="I365" s="54">
        <v>0</v>
      </c>
      <c r="J365" s="54">
        <v>0</v>
      </c>
      <c r="K365" s="54">
        <v>0</v>
      </c>
      <c r="L365" s="54">
        <v>0</v>
      </c>
      <c r="M365" s="54">
        <v>0</v>
      </c>
      <c r="N365" s="54">
        <v>0</v>
      </c>
      <c r="O365" s="54">
        <v>0</v>
      </c>
      <c r="P365" s="54">
        <v>0</v>
      </c>
      <c r="Q365" s="99"/>
      <c r="R365" s="81"/>
      <c r="W365" s="32">
        <f t="shared" si="142"/>
        <v>0</v>
      </c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</row>
    <row r="366" ht="15.75">
      <c r="A366" s="28"/>
      <c r="B366" s="73"/>
      <c r="C366" s="14"/>
      <c r="D366" s="14"/>
      <c r="E366" s="11"/>
      <c r="F366" s="11" t="s">
        <v>26</v>
      </c>
      <c r="G366" s="54">
        <f t="shared" si="157"/>
        <v>0</v>
      </c>
      <c r="H366" s="54">
        <f t="shared" si="158"/>
        <v>0</v>
      </c>
      <c r="I366" s="54">
        <v>0</v>
      </c>
      <c r="J366" s="54">
        <v>0</v>
      </c>
      <c r="K366" s="54">
        <v>0</v>
      </c>
      <c r="L366" s="54">
        <v>0</v>
      </c>
      <c r="M366" s="54">
        <v>0</v>
      </c>
      <c r="N366" s="54">
        <v>0</v>
      </c>
      <c r="O366" s="54">
        <v>0</v>
      </c>
      <c r="P366" s="54">
        <v>0</v>
      </c>
      <c r="Q366" s="99"/>
      <c r="R366" s="35"/>
      <c r="W366" s="32">
        <f t="shared" si="142"/>
        <v>0</v>
      </c>
    </row>
    <row r="367" ht="15" customHeight="1">
      <c r="A367" s="28"/>
      <c r="B367" s="73"/>
      <c r="C367" s="16"/>
      <c r="D367" s="14"/>
      <c r="E367" s="11"/>
      <c r="F367" s="11" t="s">
        <v>27</v>
      </c>
      <c r="G367" s="54">
        <f t="shared" si="157"/>
        <v>0</v>
      </c>
      <c r="H367" s="54">
        <f t="shared" si="158"/>
        <v>0</v>
      </c>
      <c r="I367" s="54">
        <v>0</v>
      </c>
      <c r="J367" s="54">
        <v>0</v>
      </c>
      <c r="K367" s="54">
        <v>0</v>
      </c>
      <c r="L367" s="54">
        <v>0</v>
      </c>
      <c r="M367" s="54">
        <v>0</v>
      </c>
      <c r="N367" s="54">
        <v>0</v>
      </c>
      <c r="O367" s="54">
        <v>0</v>
      </c>
      <c r="P367" s="54">
        <v>0</v>
      </c>
      <c r="Q367" s="99"/>
      <c r="R367" s="35"/>
      <c r="W367" s="32">
        <f t="shared" si="142"/>
        <v>0</v>
      </c>
    </row>
    <row r="368" ht="15.75">
      <c r="A368" s="28"/>
      <c r="B368" s="73"/>
      <c r="C368" s="11" t="s">
        <v>123</v>
      </c>
      <c r="D368" s="14"/>
      <c r="E368" s="11"/>
      <c r="F368" s="11" t="s">
        <v>28</v>
      </c>
      <c r="G368" s="54">
        <f t="shared" si="157"/>
        <v>1997.8</v>
      </c>
      <c r="H368" s="54">
        <f t="shared" si="158"/>
        <v>1997.8</v>
      </c>
      <c r="I368" s="54">
        <v>1997.8</v>
      </c>
      <c r="J368" s="54">
        <f>I368</f>
        <v>1997.8</v>
      </c>
      <c r="K368" s="54">
        <v>0</v>
      </c>
      <c r="L368" s="54">
        <v>0</v>
      </c>
      <c r="M368" s="54">
        <f t="shared" ref="M368:M370" si="159">M367</f>
        <v>0</v>
      </c>
      <c r="N368" s="54">
        <v>0</v>
      </c>
      <c r="O368" s="54">
        <v>0</v>
      </c>
      <c r="P368" s="54">
        <v>0</v>
      </c>
      <c r="Q368" s="99"/>
      <c r="R368" s="35"/>
      <c r="W368" s="32">
        <f t="shared" si="142"/>
        <v>0</v>
      </c>
    </row>
    <row r="369" ht="15.75">
      <c r="A369" s="28"/>
      <c r="B369" s="73"/>
      <c r="C369" s="11"/>
      <c r="D369" s="14"/>
      <c r="E369" s="11"/>
      <c r="F369" s="11" t="s">
        <v>29</v>
      </c>
      <c r="G369" s="54">
        <f t="shared" si="157"/>
        <v>1962.0999999999999</v>
      </c>
      <c r="H369" s="54">
        <f t="shared" si="158"/>
        <v>1962.0999999999999</v>
      </c>
      <c r="I369" s="54">
        <v>1962.0999999999999</v>
      </c>
      <c r="J369" s="54">
        <v>1962.0999999999999</v>
      </c>
      <c r="K369" s="54">
        <v>0</v>
      </c>
      <c r="L369" s="54">
        <v>0</v>
      </c>
      <c r="M369" s="54">
        <f t="shared" si="159"/>
        <v>0</v>
      </c>
      <c r="N369" s="54">
        <v>0</v>
      </c>
      <c r="O369" s="54">
        <v>0</v>
      </c>
      <c r="P369" s="54">
        <v>0</v>
      </c>
      <c r="Q369" s="99"/>
      <c r="R369" s="35"/>
      <c r="W369" s="32">
        <f t="shared" si="142"/>
        <v>0</v>
      </c>
    </row>
    <row r="370" ht="15.75">
      <c r="A370" s="28"/>
      <c r="B370" s="73"/>
      <c r="C370" s="11"/>
      <c r="D370" s="14"/>
      <c r="E370" s="11"/>
      <c r="F370" s="11" t="s">
        <v>30</v>
      </c>
      <c r="G370" s="54">
        <f t="shared" si="157"/>
        <v>1970</v>
      </c>
      <c r="H370" s="54">
        <f t="shared" si="158"/>
        <v>1970</v>
      </c>
      <c r="I370" s="54">
        <f>J370</f>
        <v>1970</v>
      </c>
      <c r="J370" s="54">
        <v>1970</v>
      </c>
      <c r="K370" s="54">
        <v>0</v>
      </c>
      <c r="L370" s="54">
        <v>0</v>
      </c>
      <c r="M370" s="54">
        <f t="shared" si="159"/>
        <v>0</v>
      </c>
      <c r="N370" s="54">
        <v>0</v>
      </c>
      <c r="O370" s="54">
        <v>0</v>
      </c>
      <c r="P370" s="54">
        <v>0</v>
      </c>
      <c r="Q370" s="99"/>
      <c r="R370" s="35"/>
      <c r="W370" s="32">
        <f t="shared" si="142"/>
        <v>0</v>
      </c>
    </row>
    <row r="371" ht="15.75">
      <c r="A371" s="28"/>
      <c r="B371" s="73"/>
      <c r="C371" s="11"/>
      <c r="D371" s="14"/>
      <c r="E371" s="11"/>
      <c r="F371" s="11" t="s">
        <v>31</v>
      </c>
      <c r="G371" s="54">
        <f t="shared" si="157"/>
        <v>2033.8</v>
      </c>
      <c r="H371" s="54">
        <f t="shared" si="158"/>
        <v>2033.8</v>
      </c>
      <c r="I371" s="54">
        <v>2033.8</v>
      </c>
      <c r="J371" s="54">
        <f>I371</f>
        <v>2033.8</v>
      </c>
      <c r="K371" s="54">
        <v>0</v>
      </c>
      <c r="L371" s="54">
        <v>0</v>
      </c>
      <c r="M371" s="54">
        <v>0</v>
      </c>
      <c r="N371" s="54">
        <v>0</v>
      </c>
      <c r="O371" s="54">
        <v>0</v>
      </c>
      <c r="P371" s="54">
        <v>0</v>
      </c>
      <c r="Q371" s="99"/>
      <c r="R371" s="35"/>
      <c r="W371" s="32">
        <f t="shared" si="142"/>
        <v>0</v>
      </c>
    </row>
    <row r="372" ht="15.75">
      <c r="A372" s="28"/>
      <c r="B372" s="73"/>
      <c r="C372" s="11"/>
      <c r="D372" s="14"/>
      <c r="E372" s="11"/>
      <c r="F372" s="11" t="s">
        <v>32</v>
      </c>
      <c r="G372" s="54">
        <f t="shared" si="157"/>
        <v>1467.7</v>
      </c>
      <c r="H372" s="54">
        <f t="shared" si="158"/>
        <v>1467.7</v>
      </c>
      <c r="I372" s="54">
        <f t="shared" ref="I372:I373" si="160">J372</f>
        <v>1467.7</v>
      </c>
      <c r="J372" s="54">
        <v>1467.7</v>
      </c>
      <c r="K372" s="54">
        <v>0</v>
      </c>
      <c r="L372" s="54">
        <v>0</v>
      </c>
      <c r="M372" s="54">
        <v>0</v>
      </c>
      <c r="N372" s="54">
        <v>0</v>
      </c>
      <c r="O372" s="54">
        <v>0</v>
      </c>
      <c r="P372" s="54">
        <v>0</v>
      </c>
      <c r="Q372" s="99"/>
      <c r="R372" s="35"/>
      <c r="W372" s="32">
        <f t="shared" si="142"/>
        <v>0</v>
      </c>
    </row>
    <row r="373" s="1" customFormat="1">
      <c r="A373" s="28"/>
      <c r="B373" s="73"/>
      <c r="C373" s="11"/>
      <c r="D373" s="14"/>
      <c r="E373" s="11"/>
      <c r="F373" s="11" t="s">
        <v>33</v>
      </c>
      <c r="G373" s="54">
        <f t="shared" si="157"/>
        <v>1411.7</v>
      </c>
      <c r="H373" s="54">
        <f t="shared" si="158"/>
        <v>1411.7</v>
      </c>
      <c r="I373" s="54">
        <f t="shared" si="160"/>
        <v>1411.7</v>
      </c>
      <c r="J373" s="54">
        <v>1411.7</v>
      </c>
      <c r="K373" s="54">
        <v>0</v>
      </c>
      <c r="L373" s="54">
        <v>0</v>
      </c>
      <c r="M373" s="54">
        <v>0</v>
      </c>
      <c r="N373" s="54">
        <v>0</v>
      </c>
      <c r="O373" s="54">
        <v>0</v>
      </c>
      <c r="P373" s="54">
        <v>0</v>
      </c>
      <c r="Q373" s="99"/>
      <c r="R373" s="35"/>
      <c r="W373" s="32">
        <f t="shared" si="142"/>
        <v>0</v>
      </c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</row>
    <row r="374" s="1" customFormat="1">
      <c r="A374" s="28"/>
      <c r="B374" s="73"/>
      <c r="C374" s="11"/>
      <c r="D374" s="14"/>
      <c r="E374" s="11"/>
      <c r="F374" s="11" t="s">
        <v>34</v>
      </c>
      <c r="G374" s="54">
        <f t="shared" si="157"/>
        <v>1411.7</v>
      </c>
      <c r="H374" s="54">
        <f t="shared" si="158"/>
        <v>1411.7</v>
      </c>
      <c r="I374" s="54">
        <f t="shared" ref="I374:I375" si="161">I373</f>
        <v>1411.7</v>
      </c>
      <c r="J374" s="54">
        <f>I374</f>
        <v>1411.7</v>
      </c>
      <c r="K374" s="54">
        <v>0</v>
      </c>
      <c r="L374" s="54">
        <v>0</v>
      </c>
      <c r="M374" s="54">
        <v>0</v>
      </c>
      <c r="N374" s="54">
        <v>0</v>
      </c>
      <c r="O374" s="54">
        <v>0</v>
      </c>
      <c r="P374" s="54">
        <v>0</v>
      </c>
      <c r="Q374" s="99"/>
      <c r="R374" s="35"/>
      <c r="W374" s="32">
        <f t="shared" si="142"/>
        <v>0</v>
      </c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</row>
    <row r="375" s="1" customFormat="1">
      <c r="A375" s="41"/>
      <c r="B375" s="74"/>
      <c r="C375" s="11"/>
      <c r="D375" s="16"/>
      <c r="E375" s="11"/>
      <c r="F375" s="11" t="s">
        <v>35</v>
      </c>
      <c r="G375" s="54">
        <f t="shared" si="157"/>
        <v>1411.7</v>
      </c>
      <c r="H375" s="54">
        <f t="shared" si="158"/>
        <v>1411.7</v>
      </c>
      <c r="I375" s="54">
        <f t="shared" si="161"/>
        <v>1411.7</v>
      </c>
      <c r="J375" s="54">
        <v>1411.7</v>
      </c>
      <c r="K375" s="54">
        <v>0</v>
      </c>
      <c r="L375" s="54">
        <v>0</v>
      </c>
      <c r="M375" s="54">
        <v>0</v>
      </c>
      <c r="N375" s="54">
        <v>0</v>
      </c>
      <c r="O375" s="54">
        <v>0</v>
      </c>
      <c r="P375" s="54">
        <v>0</v>
      </c>
      <c r="Q375" s="99"/>
      <c r="R375" s="35"/>
      <c r="W375" s="32">
        <f t="shared" si="142"/>
        <v>0</v>
      </c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</row>
    <row r="376" s="26" customFormat="1" ht="15.75" customHeight="1">
      <c r="A376" s="22"/>
      <c r="B376" s="73" t="s">
        <v>126</v>
      </c>
      <c r="C376" s="12"/>
      <c r="D376" s="12" t="s">
        <v>48</v>
      </c>
      <c r="E376" s="11" t="s">
        <v>121</v>
      </c>
      <c r="F376" s="11" t="s">
        <v>22</v>
      </c>
      <c r="G376" s="54">
        <f>SUM(G377:G387)</f>
        <v>16278.199999999999</v>
      </c>
      <c r="H376" s="54">
        <f t="shared" ref="H376:P376" si="162">SUM(H377:H387)</f>
        <v>16278.199999999999</v>
      </c>
      <c r="I376" s="54">
        <f t="shared" si="162"/>
        <v>16278.199999999999</v>
      </c>
      <c r="J376" s="54">
        <f t="shared" si="162"/>
        <v>16278.199999999999</v>
      </c>
      <c r="K376" s="54">
        <f t="shared" si="162"/>
        <v>0</v>
      </c>
      <c r="L376" s="54">
        <f t="shared" si="162"/>
        <v>0</v>
      </c>
      <c r="M376" s="54">
        <f t="shared" si="162"/>
        <v>0</v>
      </c>
      <c r="N376" s="54">
        <f t="shared" si="162"/>
        <v>0</v>
      </c>
      <c r="O376" s="54">
        <f t="shared" si="162"/>
        <v>0</v>
      </c>
      <c r="P376" s="54">
        <f t="shared" si="162"/>
        <v>0</v>
      </c>
      <c r="Q376" s="99" t="s">
        <v>127</v>
      </c>
      <c r="R376" s="35"/>
      <c r="W376" s="32">
        <f t="shared" si="142"/>
        <v>0</v>
      </c>
      <c r="GB376" s="26"/>
      <c r="GC376" s="26"/>
      <c r="GD376" s="26"/>
      <c r="GE376" s="26"/>
      <c r="GF376" s="26"/>
      <c r="GG376" s="26"/>
      <c r="GH376" s="26"/>
      <c r="GI376" s="26"/>
      <c r="GJ376" s="26"/>
      <c r="GK376" s="26"/>
      <c r="GL376" s="26"/>
      <c r="GM376" s="26"/>
      <c r="GN376" s="26"/>
      <c r="GO376" s="26"/>
      <c r="GP376" s="26"/>
      <c r="GQ376" s="26"/>
      <c r="GR376" s="26"/>
      <c r="GS376" s="26"/>
      <c r="GT376" s="26"/>
      <c r="GU376" s="26"/>
      <c r="GV376" s="26"/>
      <c r="GW376" s="26"/>
      <c r="GX376" s="26"/>
      <c r="GY376" s="26"/>
      <c r="GZ376" s="26"/>
      <c r="HA376" s="26"/>
      <c r="HB376" s="26"/>
      <c r="HC376" s="26"/>
      <c r="HD376" s="26"/>
      <c r="HE376" s="26"/>
      <c r="HF376" s="26"/>
      <c r="HG376" s="26"/>
      <c r="HH376" s="26"/>
    </row>
    <row r="377" s="8" customFormat="1">
      <c r="A377" s="28"/>
      <c r="B377" s="73"/>
      <c r="C377" s="14"/>
      <c r="D377" s="14"/>
      <c r="E377" s="11"/>
      <c r="F377" s="11" t="s">
        <v>24</v>
      </c>
      <c r="G377" s="54">
        <f t="shared" ref="G377:G387" si="163">I377+K377+M377+O377</f>
        <v>0</v>
      </c>
      <c r="H377" s="54">
        <f t="shared" ref="H377:H387" si="164">J377+L377+N377+P377</f>
        <v>0</v>
      </c>
      <c r="I377" s="54">
        <v>0</v>
      </c>
      <c r="J377" s="54">
        <v>0</v>
      </c>
      <c r="K377" s="54">
        <v>0</v>
      </c>
      <c r="L377" s="54">
        <v>0</v>
      </c>
      <c r="M377" s="54">
        <v>0</v>
      </c>
      <c r="N377" s="54">
        <v>0</v>
      </c>
      <c r="O377" s="54">
        <v>0</v>
      </c>
      <c r="P377" s="54">
        <v>0</v>
      </c>
      <c r="Q377" s="99"/>
      <c r="R377" s="81"/>
      <c r="W377" s="32">
        <f t="shared" si="142"/>
        <v>0</v>
      </c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</row>
    <row r="378" ht="15.75">
      <c r="A378" s="28"/>
      <c r="B378" s="73"/>
      <c r="C378" s="14"/>
      <c r="D378" s="14"/>
      <c r="E378" s="11"/>
      <c r="F378" s="11" t="s">
        <v>26</v>
      </c>
      <c r="G378" s="54">
        <f t="shared" si="163"/>
        <v>0</v>
      </c>
      <c r="H378" s="54">
        <f t="shared" si="164"/>
        <v>0</v>
      </c>
      <c r="I378" s="54">
        <v>0</v>
      </c>
      <c r="J378" s="54">
        <v>0</v>
      </c>
      <c r="K378" s="54">
        <v>0</v>
      </c>
      <c r="L378" s="54">
        <v>0</v>
      </c>
      <c r="M378" s="54">
        <v>0</v>
      </c>
      <c r="N378" s="54">
        <v>0</v>
      </c>
      <c r="O378" s="54">
        <v>0</v>
      </c>
      <c r="P378" s="54">
        <v>0</v>
      </c>
      <c r="Q378" s="99"/>
      <c r="R378" s="35"/>
      <c r="W378" s="32">
        <f t="shared" si="142"/>
        <v>0</v>
      </c>
    </row>
    <row r="379" ht="15" customHeight="1">
      <c r="A379" s="28"/>
      <c r="B379" s="73"/>
      <c r="C379" s="16"/>
      <c r="D379" s="14"/>
      <c r="E379" s="11"/>
      <c r="F379" s="11" t="s">
        <v>27</v>
      </c>
      <c r="G379" s="54">
        <f t="shared" si="163"/>
        <v>0</v>
      </c>
      <c r="H379" s="54">
        <f t="shared" si="164"/>
        <v>0</v>
      </c>
      <c r="I379" s="54">
        <v>0</v>
      </c>
      <c r="J379" s="54">
        <v>0</v>
      </c>
      <c r="K379" s="54">
        <v>0</v>
      </c>
      <c r="L379" s="54">
        <v>0</v>
      </c>
      <c r="M379" s="54">
        <v>0</v>
      </c>
      <c r="N379" s="54">
        <v>0</v>
      </c>
      <c r="O379" s="54">
        <v>0</v>
      </c>
      <c r="P379" s="54">
        <v>0</v>
      </c>
      <c r="Q379" s="99"/>
      <c r="R379" s="35"/>
      <c r="W379" s="32">
        <f t="shared" si="142"/>
        <v>0</v>
      </c>
    </row>
    <row r="380" ht="15.75">
      <c r="A380" s="28"/>
      <c r="B380" s="73"/>
      <c r="C380" s="11" t="s">
        <v>123</v>
      </c>
      <c r="D380" s="14"/>
      <c r="E380" s="11"/>
      <c r="F380" s="11" t="s">
        <v>28</v>
      </c>
      <c r="G380" s="54">
        <f t="shared" si="163"/>
        <v>2479.3000000000002</v>
      </c>
      <c r="H380" s="54">
        <f t="shared" si="164"/>
        <v>2479.3000000000002</v>
      </c>
      <c r="I380" s="54">
        <v>2479.3000000000002</v>
      </c>
      <c r="J380" s="54">
        <f>I380</f>
        <v>2479.3000000000002</v>
      </c>
      <c r="K380" s="54">
        <v>0</v>
      </c>
      <c r="L380" s="54">
        <v>0</v>
      </c>
      <c r="M380" s="54">
        <f t="shared" ref="M380:M382" si="165">M379</f>
        <v>0</v>
      </c>
      <c r="N380" s="54">
        <v>0</v>
      </c>
      <c r="O380" s="54">
        <v>0</v>
      </c>
      <c r="P380" s="54">
        <v>0</v>
      </c>
      <c r="Q380" s="99"/>
      <c r="R380" s="35"/>
      <c r="W380" s="32">
        <f t="shared" si="142"/>
        <v>0</v>
      </c>
    </row>
    <row r="381" ht="15.75">
      <c r="A381" s="28"/>
      <c r="B381" s="73"/>
      <c r="C381" s="11"/>
      <c r="D381" s="14"/>
      <c r="E381" s="11"/>
      <c r="F381" s="11" t="s">
        <v>29</v>
      </c>
      <c r="G381" s="54">
        <f t="shared" si="163"/>
        <v>2923.0999999999999</v>
      </c>
      <c r="H381" s="54">
        <f t="shared" si="164"/>
        <v>2923.0999999999999</v>
      </c>
      <c r="I381" s="54">
        <f t="shared" ref="I381:I384" si="166">J381</f>
        <v>2923.0999999999999</v>
      </c>
      <c r="J381" s="54">
        <v>2923.0999999999999</v>
      </c>
      <c r="K381" s="54">
        <v>0</v>
      </c>
      <c r="L381" s="54">
        <v>0</v>
      </c>
      <c r="M381" s="54">
        <f t="shared" si="165"/>
        <v>0</v>
      </c>
      <c r="N381" s="54">
        <v>0</v>
      </c>
      <c r="O381" s="54">
        <v>0</v>
      </c>
      <c r="P381" s="54">
        <v>0</v>
      </c>
      <c r="Q381" s="99"/>
      <c r="R381" s="35"/>
      <c r="W381" s="32">
        <f t="shared" si="142"/>
        <v>0</v>
      </c>
    </row>
    <row r="382" ht="15.75">
      <c r="A382" s="28"/>
      <c r="B382" s="73"/>
      <c r="C382" s="11"/>
      <c r="D382" s="14"/>
      <c r="E382" s="11"/>
      <c r="F382" s="11" t="s">
        <v>30</v>
      </c>
      <c r="G382" s="54">
        <f t="shared" si="163"/>
        <v>2728</v>
      </c>
      <c r="H382" s="54">
        <f t="shared" si="164"/>
        <v>2728</v>
      </c>
      <c r="I382" s="54">
        <f t="shared" si="166"/>
        <v>2728</v>
      </c>
      <c r="J382" s="54">
        <v>2728</v>
      </c>
      <c r="K382" s="54">
        <v>0</v>
      </c>
      <c r="L382" s="54">
        <v>0</v>
      </c>
      <c r="M382" s="54">
        <f t="shared" si="165"/>
        <v>0</v>
      </c>
      <c r="N382" s="54">
        <v>0</v>
      </c>
      <c r="O382" s="54">
        <v>0</v>
      </c>
      <c r="P382" s="54">
        <v>0</v>
      </c>
      <c r="Q382" s="99"/>
      <c r="R382" s="35"/>
      <c r="W382" s="32">
        <f t="shared" ref="W382:W445" si="167">I382-J382</f>
        <v>0</v>
      </c>
    </row>
    <row r="383" ht="15.75">
      <c r="A383" s="28"/>
      <c r="B383" s="73"/>
      <c r="C383" s="11"/>
      <c r="D383" s="14"/>
      <c r="E383" s="11"/>
      <c r="F383" s="11" t="s">
        <v>31</v>
      </c>
      <c r="G383" s="54">
        <f t="shared" si="163"/>
        <v>2249</v>
      </c>
      <c r="H383" s="54">
        <f t="shared" si="164"/>
        <v>2249</v>
      </c>
      <c r="I383" s="54">
        <v>2249</v>
      </c>
      <c r="J383" s="54">
        <f>I383</f>
        <v>2249</v>
      </c>
      <c r="K383" s="54">
        <v>0</v>
      </c>
      <c r="L383" s="54">
        <v>0</v>
      </c>
      <c r="M383" s="54">
        <v>0</v>
      </c>
      <c r="N383" s="54">
        <v>0</v>
      </c>
      <c r="O383" s="54">
        <v>0</v>
      </c>
      <c r="P383" s="54">
        <v>0</v>
      </c>
      <c r="Q383" s="99"/>
      <c r="R383" s="35"/>
      <c r="W383" s="32">
        <f t="shared" si="167"/>
        <v>0</v>
      </c>
    </row>
    <row r="384" ht="15.75">
      <c r="A384" s="28"/>
      <c r="B384" s="73"/>
      <c r="C384" s="11"/>
      <c r="D384" s="14"/>
      <c r="E384" s="11"/>
      <c r="F384" s="11" t="s">
        <v>32</v>
      </c>
      <c r="G384" s="54">
        <f t="shared" si="163"/>
        <v>1593.8</v>
      </c>
      <c r="H384" s="54">
        <f t="shared" si="164"/>
        <v>1593.8</v>
      </c>
      <c r="I384" s="54">
        <f t="shared" si="166"/>
        <v>1593.8</v>
      </c>
      <c r="J384" s="54">
        <v>1593.8</v>
      </c>
      <c r="K384" s="54">
        <v>0</v>
      </c>
      <c r="L384" s="54">
        <v>0</v>
      </c>
      <c r="M384" s="54">
        <v>0</v>
      </c>
      <c r="N384" s="54">
        <v>0</v>
      </c>
      <c r="O384" s="54">
        <v>0</v>
      </c>
      <c r="P384" s="54">
        <v>0</v>
      </c>
      <c r="Q384" s="99"/>
      <c r="R384" s="35"/>
      <c r="W384" s="32">
        <f t="shared" si="167"/>
        <v>0</v>
      </c>
    </row>
    <row r="385" s="1" customFormat="1">
      <c r="A385" s="28"/>
      <c r="B385" s="73"/>
      <c r="C385" s="11"/>
      <c r="D385" s="14"/>
      <c r="E385" s="11"/>
      <c r="F385" s="11" t="s">
        <v>33</v>
      </c>
      <c r="G385" s="54">
        <f t="shared" si="163"/>
        <v>1435</v>
      </c>
      <c r="H385" s="54">
        <f t="shared" si="164"/>
        <v>1435</v>
      </c>
      <c r="I385" s="54">
        <v>1435</v>
      </c>
      <c r="J385" s="54">
        <v>1435</v>
      </c>
      <c r="K385" s="54">
        <v>0</v>
      </c>
      <c r="L385" s="54">
        <v>0</v>
      </c>
      <c r="M385" s="54">
        <v>0</v>
      </c>
      <c r="N385" s="54">
        <v>0</v>
      </c>
      <c r="O385" s="54">
        <v>0</v>
      </c>
      <c r="P385" s="54">
        <v>0</v>
      </c>
      <c r="Q385" s="99"/>
      <c r="R385" s="35"/>
      <c r="W385" s="32">
        <f t="shared" si="167"/>
        <v>0</v>
      </c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</row>
    <row r="386" s="1" customFormat="1">
      <c r="A386" s="28"/>
      <c r="B386" s="73"/>
      <c r="C386" s="11"/>
      <c r="D386" s="14"/>
      <c r="E386" s="11"/>
      <c r="F386" s="11" t="s">
        <v>34</v>
      </c>
      <c r="G386" s="54">
        <f t="shared" si="163"/>
        <v>1435</v>
      </c>
      <c r="H386" s="54">
        <f t="shared" si="164"/>
        <v>1435</v>
      </c>
      <c r="I386" s="54">
        <f t="shared" ref="I386:I387" si="168">I385</f>
        <v>1435</v>
      </c>
      <c r="J386" s="54">
        <f>I386</f>
        <v>1435</v>
      </c>
      <c r="K386" s="54">
        <v>0</v>
      </c>
      <c r="L386" s="54">
        <v>0</v>
      </c>
      <c r="M386" s="54">
        <v>0</v>
      </c>
      <c r="N386" s="54">
        <v>0</v>
      </c>
      <c r="O386" s="54">
        <v>0</v>
      </c>
      <c r="P386" s="54">
        <v>0</v>
      </c>
      <c r="Q386" s="99"/>
      <c r="R386" s="35"/>
      <c r="W386" s="32">
        <f t="shared" si="167"/>
        <v>0</v>
      </c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</row>
    <row r="387" s="1" customFormat="1">
      <c r="A387" s="41"/>
      <c r="B387" s="74"/>
      <c r="C387" s="11"/>
      <c r="D387" s="16"/>
      <c r="E387" s="11"/>
      <c r="F387" s="11" t="s">
        <v>35</v>
      </c>
      <c r="G387" s="54">
        <f t="shared" si="163"/>
        <v>1435</v>
      </c>
      <c r="H387" s="54">
        <f t="shared" si="164"/>
        <v>1435</v>
      </c>
      <c r="I387" s="54">
        <f t="shared" si="168"/>
        <v>1435</v>
      </c>
      <c r="J387" s="54">
        <v>1435</v>
      </c>
      <c r="K387" s="54">
        <v>0</v>
      </c>
      <c r="L387" s="54">
        <v>0</v>
      </c>
      <c r="M387" s="54">
        <v>0</v>
      </c>
      <c r="N387" s="54">
        <v>0</v>
      </c>
      <c r="O387" s="54">
        <v>0</v>
      </c>
      <c r="P387" s="54">
        <v>0</v>
      </c>
      <c r="Q387" s="99"/>
      <c r="R387" s="35"/>
      <c r="W387" s="32">
        <f t="shared" si="167"/>
        <v>0</v>
      </c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</row>
    <row r="388" s="26" customFormat="1" ht="15.75" customHeight="1">
      <c r="A388" s="22"/>
      <c r="B388" s="73" t="s">
        <v>128</v>
      </c>
      <c r="C388" s="12"/>
      <c r="D388" s="12" t="s">
        <v>48</v>
      </c>
      <c r="E388" s="11" t="s">
        <v>121</v>
      </c>
      <c r="F388" s="11" t="s">
        <v>22</v>
      </c>
      <c r="G388" s="54">
        <f>SUM(G389:G399)</f>
        <v>28968.199999999997</v>
      </c>
      <c r="H388" s="54">
        <f t="shared" ref="H388:P388" si="169">SUM(H389:H399)</f>
        <v>25343.599999999995</v>
      </c>
      <c r="I388" s="54">
        <f t="shared" si="169"/>
        <v>28968.199999999997</v>
      </c>
      <c r="J388" s="54">
        <f t="shared" si="169"/>
        <v>25343.599999999995</v>
      </c>
      <c r="K388" s="54">
        <f t="shared" si="169"/>
        <v>0</v>
      </c>
      <c r="L388" s="54">
        <f t="shared" si="169"/>
        <v>0</v>
      </c>
      <c r="M388" s="54">
        <f t="shared" si="169"/>
        <v>0</v>
      </c>
      <c r="N388" s="54">
        <f t="shared" si="169"/>
        <v>0</v>
      </c>
      <c r="O388" s="54">
        <f t="shared" si="169"/>
        <v>0</v>
      </c>
      <c r="P388" s="54">
        <f t="shared" si="169"/>
        <v>0</v>
      </c>
      <c r="Q388" s="99" t="s">
        <v>129</v>
      </c>
      <c r="R388" s="35"/>
      <c r="W388" s="32">
        <f t="shared" si="167"/>
        <v>3624.6000000000022</v>
      </c>
      <c r="GB388" s="26"/>
      <c r="GC388" s="26"/>
      <c r="GD388" s="26"/>
      <c r="GE388" s="26"/>
      <c r="GF388" s="26"/>
      <c r="GG388" s="26"/>
      <c r="GH388" s="26"/>
      <c r="GI388" s="26"/>
      <c r="GJ388" s="26"/>
      <c r="GK388" s="26"/>
      <c r="GL388" s="26"/>
      <c r="GM388" s="26"/>
      <c r="GN388" s="26"/>
      <c r="GO388" s="26"/>
      <c r="GP388" s="26"/>
      <c r="GQ388" s="26"/>
      <c r="GR388" s="26"/>
      <c r="GS388" s="26"/>
      <c r="GT388" s="26"/>
      <c r="GU388" s="26"/>
      <c r="GV388" s="26"/>
      <c r="GW388" s="26"/>
      <c r="GX388" s="26"/>
      <c r="GY388" s="26"/>
      <c r="GZ388" s="26"/>
      <c r="HA388" s="26"/>
      <c r="HB388" s="26"/>
      <c r="HC388" s="26"/>
      <c r="HD388" s="26"/>
      <c r="HE388" s="26"/>
      <c r="HF388" s="26"/>
      <c r="HG388" s="26"/>
      <c r="HH388" s="26"/>
    </row>
    <row r="389" s="8" customFormat="1">
      <c r="A389" s="28"/>
      <c r="B389" s="73"/>
      <c r="C389" s="14"/>
      <c r="D389" s="14"/>
      <c r="E389" s="11"/>
      <c r="F389" s="11" t="s">
        <v>24</v>
      </c>
      <c r="G389" s="54">
        <f t="shared" ref="G389:G399" si="170">I389+K389+M389+O389</f>
        <v>0</v>
      </c>
      <c r="H389" s="54">
        <f t="shared" ref="H389:H399" si="171">J389+L389+N389+P389</f>
        <v>0</v>
      </c>
      <c r="I389" s="54">
        <v>0</v>
      </c>
      <c r="J389" s="54">
        <v>0</v>
      </c>
      <c r="K389" s="54">
        <v>0</v>
      </c>
      <c r="L389" s="54">
        <v>0</v>
      </c>
      <c r="M389" s="54">
        <v>0</v>
      </c>
      <c r="N389" s="54">
        <v>0</v>
      </c>
      <c r="O389" s="54">
        <v>0</v>
      </c>
      <c r="P389" s="54">
        <v>0</v>
      </c>
      <c r="Q389" s="99"/>
      <c r="R389" s="81"/>
      <c r="W389" s="32">
        <f t="shared" si="167"/>
        <v>0</v>
      </c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  <c r="HE389" s="8"/>
      <c r="HF389" s="8"/>
      <c r="HG389" s="8"/>
      <c r="HH389" s="8"/>
    </row>
    <row r="390" ht="15.75">
      <c r="A390" s="28"/>
      <c r="B390" s="73"/>
      <c r="C390" s="14"/>
      <c r="D390" s="14"/>
      <c r="E390" s="11"/>
      <c r="F390" s="11" t="s">
        <v>26</v>
      </c>
      <c r="G390" s="54">
        <f t="shared" si="170"/>
        <v>0</v>
      </c>
      <c r="H390" s="54">
        <f t="shared" si="171"/>
        <v>0</v>
      </c>
      <c r="I390" s="54">
        <v>0</v>
      </c>
      <c r="J390" s="54">
        <v>0</v>
      </c>
      <c r="K390" s="54">
        <v>0</v>
      </c>
      <c r="L390" s="54">
        <v>0</v>
      </c>
      <c r="M390" s="54">
        <v>0</v>
      </c>
      <c r="N390" s="54">
        <v>0</v>
      </c>
      <c r="O390" s="54">
        <v>0</v>
      </c>
      <c r="P390" s="54">
        <v>0</v>
      </c>
      <c r="Q390" s="99"/>
      <c r="R390" s="35"/>
      <c r="W390" s="32">
        <f t="shared" si="167"/>
        <v>0</v>
      </c>
    </row>
    <row r="391" ht="15" customHeight="1">
      <c r="A391" s="28"/>
      <c r="B391" s="73"/>
      <c r="C391" s="16"/>
      <c r="D391" s="14"/>
      <c r="E391" s="11"/>
      <c r="F391" s="11" t="s">
        <v>27</v>
      </c>
      <c r="G391" s="54">
        <f t="shared" si="170"/>
        <v>0</v>
      </c>
      <c r="H391" s="54">
        <f t="shared" si="171"/>
        <v>0</v>
      </c>
      <c r="I391" s="54">
        <v>0</v>
      </c>
      <c r="J391" s="54">
        <v>0</v>
      </c>
      <c r="K391" s="54">
        <v>0</v>
      </c>
      <c r="L391" s="54">
        <v>0</v>
      </c>
      <c r="M391" s="54">
        <v>0</v>
      </c>
      <c r="N391" s="54">
        <v>0</v>
      </c>
      <c r="O391" s="54">
        <v>0</v>
      </c>
      <c r="P391" s="54">
        <v>0</v>
      </c>
      <c r="Q391" s="99"/>
      <c r="R391" s="35"/>
      <c r="W391" s="32">
        <f t="shared" si="167"/>
        <v>0</v>
      </c>
    </row>
    <row r="392" ht="15.75">
      <c r="A392" s="28"/>
      <c r="B392" s="73"/>
      <c r="C392" s="11" t="s">
        <v>123</v>
      </c>
      <c r="D392" s="14"/>
      <c r="E392" s="11"/>
      <c r="F392" s="11" t="s">
        <v>28</v>
      </c>
      <c r="G392" s="54">
        <f t="shared" si="170"/>
        <v>3652.6999999999998</v>
      </c>
      <c r="H392" s="54">
        <f t="shared" si="171"/>
        <v>3652.6999999999998</v>
      </c>
      <c r="I392" s="54">
        <v>3652.6999999999998</v>
      </c>
      <c r="J392" s="54">
        <f>I392</f>
        <v>3652.6999999999998</v>
      </c>
      <c r="K392" s="54">
        <v>0</v>
      </c>
      <c r="L392" s="54">
        <v>0</v>
      </c>
      <c r="M392" s="54">
        <f t="shared" ref="M392:M394" si="172">M391</f>
        <v>0</v>
      </c>
      <c r="N392" s="54">
        <v>0</v>
      </c>
      <c r="O392" s="54">
        <v>0</v>
      </c>
      <c r="P392" s="54">
        <v>0</v>
      </c>
      <c r="Q392" s="99"/>
      <c r="R392" s="35"/>
      <c r="W392" s="32">
        <f t="shared" si="167"/>
        <v>0</v>
      </c>
    </row>
    <row r="393" ht="15.75">
      <c r="A393" s="28"/>
      <c r="B393" s="73"/>
      <c r="C393" s="11"/>
      <c r="D393" s="14"/>
      <c r="E393" s="11"/>
      <c r="F393" s="11" t="s">
        <v>29</v>
      </c>
      <c r="G393" s="54">
        <f t="shared" si="170"/>
        <v>3887.9000000000001</v>
      </c>
      <c r="H393" s="54">
        <f t="shared" si="171"/>
        <v>3887.9000000000001</v>
      </c>
      <c r="I393" s="54">
        <f t="shared" ref="I393:I396" si="173">J393</f>
        <v>3887.9000000000001</v>
      </c>
      <c r="J393" s="54">
        <v>3887.9000000000001</v>
      </c>
      <c r="K393" s="54">
        <v>0</v>
      </c>
      <c r="L393" s="54">
        <v>0</v>
      </c>
      <c r="M393" s="54">
        <f t="shared" si="172"/>
        <v>0</v>
      </c>
      <c r="N393" s="54">
        <v>0</v>
      </c>
      <c r="O393" s="54">
        <v>0</v>
      </c>
      <c r="P393" s="54">
        <v>0</v>
      </c>
      <c r="Q393" s="99"/>
      <c r="R393" s="35"/>
      <c r="W393" s="32">
        <f t="shared" si="167"/>
        <v>0</v>
      </c>
    </row>
    <row r="394" ht="15.75">
      <c r="A394" s="28"/>
      <c r="B394" s="73"/>
      <c r="C394" s="11"/>
      <c r="D394" s="14"/>
      <c r="E394" s="11"/>
      <c r="F394" s="11" t="s">
        <v>30</v>
      </c>
      <c r="G394" s="54">
        <f t="shared" si="170"/>
        <v>3037.6999999999998</v>
      </c>
      <c r="H394" s="54">
        <f t="shared" si="171"/>
        <v>3037.6999999999998</v>
      </c>
      <c r="I394" s="54">
        <f t="shared" si="173"/>
        <v>3037.6999999999998</v>
      </c>
      <c r="J394" s="54">
        <v>3037.6999999999998</v>
      </c>
      <c r="K394" s="54">
        <v>0</v>
      </c>
      <c r="L394" s="54">
        <v>0</v>
      </c>
      <c r="M394" s="54">
        <f t="shared" si="172"/>
        <v>0</v>
      </c>
      <c r="N394" s="54">
        <v>0</v>
      </c>
      <c r="O394" s="54">
        <v>0</v>
      </c>
      <c r="P394" s="54">
        <v>0</v>
      </c>
      <c r="Q394" s="99"/>
      <c r="R394" s="35"/>
      <c r="W394" s="32">
        <f t="shared" si="167"/>
        <v>0</v>
      </c>
    </row>
    <row r="395" ht="15.75">
      <c r="A395" s="28"/>
      <c r="B395" s="73"/>
      <c r="C395" s="11"/>
      <c r="D395" s="14"/>
      <c r="E395" s="11"/>
      <c r="F395" s="11" t="s">
        <v>31</v>
      </c>
      <c r="G395" s="54">
        <f t="shared" si="170"/>
        <v>3821.8000000000002</v>
      </c>
      <c r="H395" s="54">
        <f t="shared" si="171"/>
        <v>3821.8000000000002</v>
      </c>
      <c r="I395" s="54">
        <v>3821.8000000000002</v>
      </c>
      <c r="J395" s="54">
        <f>I395</f>
        <v>3821.8000000000002</v>
      </c>
      <c r="K395" s="54">
        <v>0</v>
      </c>
      <c r="L395" s="54">
        <v>0</v>
      </c>
      <c r="M395" s="54">
        <v>0</v>
      </c>
      <c r="N395" s="54">
        <v>0</v>
      </c>
      <c r="O395" s="54">
        <v>0</v>
      </c>
      <c r="P395" s="54">
        <v>0</v>
      </c>
      <c r="Q395" s="99"/>
      <c r="R395" s="35"/>
      <c r="W395" s="32">
        <f t="shared" si="167"/>
        <v>0</v>
      </c>
    </row>
    <row r="396" ht="15.75">
      <c r="A396" s="28"/>
      <c r="B396" s="73"/>
      <c r="C396" s="11"/>
      <c r="D396" s="14"/>
      <c r="E396" s="11"/>
      <c r="F396" s="11" t="s">
        <v>32</v>
      </c>
      <c r="G396" s="54">
        <f t="shared" si="170"/>
        <v>4371.6999999999998</v>
      </c>
      <c r="H396" s="54">
        <f t="shared" si="171"/>
        <v>4371.6999999999998</v>
      </c>
      <c r="I396" s="54">
        <f t="shared" si="173"/>
        <v>4371.6999999999998</v>
      </c>
      <c r="J396" s="54">
        <v>4371.6999999999998</v>
      </c>
      <c r="K396" s="54">
        <v>0</v>
      </c>
      <c r="L396" s="54">
        <v>0</v>
      </c>
      <c r="M396" s="54">
        <v>0</v>
      </c>
      <c r="N396" s="54">
        <v>0</v>
      </c>
      <c r="O396" s="54">
        <v>0</v>
      </c>
      <c r="P396" s="54">
        <v>0</v>
      </c>
      <c r="Q396" s="99"/>
      <c r="R396" s="35"/>
      <c r="W396" s="32">
        <f t="shared" si="167"/>
        <v>0</v>
      </c>
    </row>
    <row r="397" s="1" customFormat="1">
      <c r="A397" s="28"/>
      <c r="B397" s="73"/>
      <c r="C397" s="11"/>
      <c r="D397" s="14"/>
      <c r="E397" s="11"/>
      <c r="F397" s="11" t="s">
        <v>33</v>
      </c>
      <c r="G397" s="54">
        <f t="shared" si="170"/>
        <v>3398.8000000000002</v>
      </c>
      <c r="H397" s="54">
        <f t="shared" si="171"/>
        <v>2190.5999999999999</v>
      </c>
      <c r="I397" s="54">
        <v>3398.8000000000002</v>
      </c>
      <c r="J397" s="54">
        <v>2190.5999999999999</v>
      </c>
      <c r="K397" s="54">
        <v>0</v>
      </c>
      <c r="L397" s="54">
        <v>0</v>
      </c>
      <c r="M397" s="54">
        <v>0</v>
      </c>
      <c r="N397" s="54">
        <v>0</v>
      </c>
      <c r="O397" s="54">
        <v>0</v>
      </c>
      <c r="P397" s="54">
        <v>0</v>
      </c>
      <c r="Q397" s="99"/>
      <c r="R397" s="35"/>
      <c r="W397" s="32">
        <f t="shared" si="167"/>
        <v>1208.2000000000003</v>
      </c>
      <c r="AB397" s="59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</row>
    <row r="398" s="1" customFormat="1">
      <c r="A398" s="28"/>
      <c r="B398" s="73"/>
      <c r="C398" s="11"/>
      <c r="D398" s="14"/>
      <c r="E398" s="11"/>
      <c r="F398" s="11" t="s">
        <v>34</v>
      </c>
      <c r="G398" s="54">
        <f t="shared" si="170"/>
        <v>3398.8000000000002</v>
      </c>
      <c r="H398" s="54">
        <f t="shared" si="171"/>
        <v>2190.5999999999999</v>
      </c>
      <c r="I398" s="54">
        <f>I397</f>
        <v>3398.8000000000002</v>
      </c>
      <c r="J398" s="54">
        <v>2190.5999999999999</v>
      </c>
      <c r="K398" s="54">
        <v>0</v>
      </c>
      <c r="L398" s="54">
        <v>0</v>
      </c>
      <c r="M398" s="54">
        <v>0</v>
      </c>
      <c r="N398" s="54">
        <v>0</v>
      </c>
      <c r="O398" s="54">
        <v>0</v>
      </c>
      <c r="P398" s="54">
        <v>0</v>
      </c>
      <c r="Q398" s="99"/>
      <c r="R398" s="35"/>
      <c r="W398" s="32">
        <f t="shared" si="167"/>
        <v>1208.2000000000003</v>
      </c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</row>
    <row r="399" s="1" customFormat="1">
      <c r="A399" s="41"/>
      <c r="B399" s="74"/>
      <c r="C399" s="11"/>
      <c r="D399" s="16"/>
      <c r="E399" s="11"/>
      <c r="F399" s="11" t="s">
        <v>35</v>
      </c>
      <c r="G399" s="54">
        <f t="shared" si="170"/>
        <v>3398.8000000000002</v>
      </c>
      <c r="H399" s="54">
        <f t="shared" si="171"/>
        <v>2190.5999999999999</v>
      </c>
      <c r="I399" s="54">
        <v>3398.8000000000002</v>
      </c>
      <c r="J399" s="54">
        <v>2190.5999999999999</v>
      </c>
      <c r="K399" s="54">
        <v>0</v>
      </c>
      <c r="L399" s="54">
        <v>0</v>
      </c>
      <c r="M399" s="54">
        <v>0</v>
      </c>
      <c r="N399" s="54">
        <v>0</v>
      </c>
      <c r="O399" s="54">
        <v>0</v>
      </c>
      <c r="P399" s="54">
        <v>0</v>
      </c>
      <c r="Q399" s="99"/>
      <c r="R399" s="35"/>
      <c r="W399" s="32">
        <f t="shared" si="167"/>
        <v>1208.2000000000003</v>
      </c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</row>
    <row r="400" ht="15.75" hidden="1">
      <c r="A400" s="41"/>
      <c r="B400" s="57"/>
      <c r="C400" s="11"/>
      <c r="D400" s="11"/>
      <c r="E400" s="11"/>
      <c r="F400" s="11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1"/>
      <c r="R400" s="35"/>
      <c r="W400" s="32">
        <f t="shared" si="167"/>
        <v>0</v>
      </c>
    </row>
    <row r="401" s="26" customFormat="1" ht="35.25" hidden="1" customHeight="1">
      <c r="A401" s="22"/>
      <c r="B401" s="57"/>
      <c r="C401" s="72"/>
      <c r="D401" s="72"/>
      <c r="E401" s="11"/>
      <c r="F401" s="11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2"/>
      <c r="R401" s="35"/>
      <c r="W401" s="32">
        <f t="shared" si="167"/>
        <v>0</v>
      </c>
      <c r="GB401" s="26"/>
      <c r="GC401" s="26"/>
      <c r="GD401" s="26"/>
      <c r="GE401" s="26"/>
      <c r="GF401" s="26"/>
      <c r="GG401" s="26"/>
      <c r="GH401" s="26"/>
      <c r="GI401" s="26"/>
      <c r="GJ401" s="26"/>
      <c r="GK401" s="26"/>
      <c r="GL401" s="26"/>
      <c r="GM401" s="26"/>
      <c r="GN401" s="26"/>
      <c r="GO401" s="26"/>
      <c r="GP401" s="26"/>
      <c r="GQ401" s="26"/>
      <c r="GR401" s="26"/>
      <c r="GS401" s="26"/>
      <c r="GT401" s="26"/>
      <c r="GU401" s="26"/>
      <c r="GV401" s="26"/>
      <c r="GW401" s="26"/>
      <c r="GX401" s="26"/>
      <c r="GY401" s="26"/>
      <c r="GZ401" s="26"/>
      <c r="HA401" s="26"/>
      <c r="HB401" s="26"/>
      <c r="HC401" s="26"/>
      <c r="HD401" s="26"/>
      <c r="HE401" s="26"/>
      <c r="HF401" s="26"/>
      <c r="HG401" s="26"/>
      <c r="HH401" s="26"/>
    </row>
    <row r="402" s="26" customFormat="1" ht="15.75" hidden="1" customHeight="1">
      <c r="A402" s="28"/>
      <c r="B402" s="57"/>
      <c r="C402" s="64"/>
      <c r="D402" s="64"/>
      <c r="E402" s="11"/>
      <c r="F402" s="11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2"/>
      <c r="R402" s="35"/>
      <c r="W402" s="32">
        <f t="shared" si="167"/>
        <v>0</v>
      </c>
      <c r="GB402" s="26"/>
      <c r="GC402" s="26"/>
      <c r="GD402" s="26"/>
      <c r="GE402" s="26"/>
      <c r="GF402" s="26"/>
      <c r="GG402" s="26"/>
      <c r="GH402" s="26"/>
      <c r="GI402" s="26"/>
      <c r="GJ402" s="26"/>
      <c r="GK402" s="26"/>
      <c r="GL402" s="26"/>
      <c r="GM402" s="26"/>
      <c r="GN402" s="26"/>
      <c r="GO402" s="26"/>
      <c r="GP402" s="26"/>
      <c r="GQ402" s="26"/>
      <c r="GR402" s="26"/>
      <c r="GS402" s="26"/>
      <c r="GT402" s="26"/>
      <c r="GU402" s="26"/>
      <c r="GV402" s="26"/>
      <c r="GW402" s="26"/>
      <c r="GX402" s="26"/>
      <c r="GY402" s="26"/>
      <c r="GZ402" s="26"/>
      <c r="HA402" s="26"/>
      <c r="HB402" s="26"/>
      <c r="HC402" s="26"/>
      <c r="HD402" s="26"/>
      <c r="HE402" s="26"/>
      <c r="HF402" s="26"/>
      <c r="HG402" s="26"/>
      <c r="HH402" s="26"/>
    </row>
    <row r="403" s="26" customFormat="1" ht="15.6" hidden="1" customHeight="1">
      <c r="A403" s="28"/>
      <c r="B403" s="57"/>
      <c r="C403" s="64"/>
      <c r="D403" s="64"/>
      <c r="E403" s="11"/>
      <c r="F403" s="11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2"/>
      <c r="R403" s="35"/>
      <c r="W403" s="32">
        <f t="shared" si="167"/>
        <v>0</v>
      </c>
      <c r="Z403" s="37"/>
      <c r="GB403" s="26"/>
      <c r="GC403" s="26"/>
      <c r="GD403" s="26"/>
      <c r="GE403" s="26"/>
      <c r="GF403" s="26"/>
      <c r="GG403" s="26"/>
      <c r="GH403" s="26"/>
      <c r="GI403" s="26"/>
      <c r="GJ403" s="26"/>
      <c r="GK403" s="26"/>
      <c r="GL403" s="26"/>
      <c r="GM403" s="26"/>
      <c r="GN403" s="26"/>
      <c r="GO403" s="26"/>
      <c r="GP403" s="26"/>
      <c r="GQ403" s="26"/>
      <c r="GR403" s="26"/>
      <c r="GS403" s="26"/>
      <c r="GT403" s="26"/>
      <c r="GU403" s="26"/>
      <c r="GV403" s="26"/>
      <c r="GW403" s="26"/>
      <c r="GX403" s="26"/>
      <c r="GY403" s="26"/>
      <c r="GZ403" s="26"/>
      <c r="HA403" s="26"/>
      <c r="HB403" s="26"/>
      <c r="HC403" s="26"/>
      <c r="HD403" s="26"/>
      <c r="HE403" s="26"/>
      <c r="HF403" s="26"/>
      <c r="HG403" s="26"/>
      <c r="HH403" s="26"/>
    </row>
    <row r="404" s="26" customFormat="1" hidden="1">
      <c r="A404" s="28"/>
      <c r="B404" s="57"/>
      <c r="C404" s="11"/>
      <c r="D404" s="11"/>
      <c r="E404" s="11"/>
      <c r="F404" s="11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2"/>
      <c r="R404" s="35"/>
      <c r="W404" s="32">
        <f t="shared" si="167"/>
        <v>0</v>
      </c>
      <c r="GB404" s="26"/>
      <c r="GC404" s="26"/>
      <c r="GD404" s="26"/>
      <c r="GE404" s="26"/>
      <c r="GF404" s="26"/>
      <c r="GG404" s="26"/>
      <c r="GH404" s="26"/>
      <c r="GI404" s="26"/>
      <c r="GJ404" s="26"/>
      <c r="GK404" s="26"/>
      <c r="GL404" s="26"/>
      <c r="GM404" s="26"/>
      <c r="GN404" s="26"/>
      <c r="GO404" s="26"/>
      <c r="GP404" s="26"/>
      <c r="GQ404" s="26"/>
      <c r="GR404" s="26"/>
      <c r="GS404" s="26"/>
      <c r="GT404" s="26"/>
      <c r="GU404" s="26"/>
      <c r="GV404" s="26"/>
      <c r="GW404" s="26"/>
      <c r="GX404" s="26"/>
      <c r="GY404" s="26"/>
      <c r="GZ404" s="26"/>
      <c r="HA404" s="26"/>
      <c r="HB404" s="26"/>
      <c r="HC404" s="26"/>
      <c r="HD404" s="26"/>
      <c r="HE404" s="26"/>
      <c r="HF404" s="26"/>
      <c r="HG404" s="26"/>
      <c r="HH404" s="26"/>
    </row>
    <row r="405" s="26" customFormat="1" hidden="1">
      <c r="A405" s="28"/>
      <c r="B405" s="57"/>
      <c r="C405" s="11"/>
      <c r="D405" s="11"/>
      <c r="E405" s="72"/>
      <c r="F405" s="11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2"/>
      <c r="R405" s="35"/>
      <c r="W405" s="32">
        <f t="shared" si="167"/>
        <v>0</v>
      </c>
      <c r="GB405" s="26"/>
      <c r="GC405" s="26"/>
      <c r="GD405" s="26"/>
      <c r="GE405" s="26"/>
      <c r="GF405" s="26"/>
      <c r="GG405" s="26"/>
      <c r="GH405" s="26"/>
      <c r="GI405" s="26"/>
      <c r="GJ405" s="26"/>
      <c r="GK405" s="26"/>
      <c r="GL405" s="26"/>
      <c r="GM405" s="26"/>
      <c r="GN405" s="26"/>
      <c r="GO405" s="26"/>
      <c r="GP405" s="26"/>
      <c r="GQ405" s="26"/>
      <c r="GR405" s="26"/>
      <c r="GS405" s="26"/>
      <c r="GT405" s="26"/>
      <c r="GU405" s="26"/>
      <c r="GV405" s="26"/>
      <c r="GW405" s="26"/>
      <c r="GX405" s="26"/>
      <c r="GY405" s="26"/>
      <c r="GZ405" s="26"/>
      <c r="HA405" s="26"/>
      <c r="HB405" s="26"/>
      <c r="HC405" s="26"/>
      <c r="HD405" s="26"/>
      <c r="HE405" s="26"/>
      <c r="HF405" s="26"/>
      <c r="HG405" s="26"/>
      <c r="HH405" s="26"/>
    </row>
    <row r="406" s="26" customFormat="1" hidden="1">
      <c r="A406" s="28"/>
      <c r="B406" s="57"/>
      <c r="C406" s="11"/>
      <c r="D406" s="11"/>
      <c r="E406" s="64"/>
      <c r="F406" s="11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75"/>
      <c r="R406" s="35"/>
      <c r="W406" s="32">
        <f t="shared" si="167"/>
        <v>0</v>
      </c>
      <c r="GB406" s="26"/>
      <c r="GC406" s="26"/>
      <c r="GD406" s="26"/>
      <c r="GE406" s="26"/>
      <c r="GF406" s="26"/>
      <c r="GG406" s="26"/>
      <c r="GH406" s="26"/>
      <c r="GI406" s="26"/>
      <c r="GJ406" s="26"/>
      <c r="GK406" s="26"/>
      <c r="GL406" s="26"/>
      <c r="GM406" s="26"/>
      <c r="GN406" s="26"/>
      <c r="GO406" s="26"/>
      <c r="GP406" s="26"/>
      <c r="GQ406" s="26"/>
      <c r="GR406" s="26"/>
      <c r="GS406" s="26"/>
      <c r="GT406" s="26"/>
      <c r="GU406" s="26"/>
      <c r="GV406" s="26"/>
      <c r="GW406" s="26"/>
      <c r="GX406" s="26"/>
      <c r="GY406" s="26"/>
      <c r="GZ406" s="26"/>
      <c r="HA406" s="26"/>
      <c r="HB406" s="26"/>
      <c r="HC406" s="26"/>
      <c r="HD406" s="26"/>
      <c r="HE406" s="26"/>
      <c r="HF406" s="26"/>
      <c r="HG406" s="26"/>
      <c r="HH406" s="26"/>
    </row>
    <row r="407" s="26" customFormat="1" ht="15.75" hidden="1" customHeight="1">
      <c r="A407" s="28"/>
      <c r="B407" s="73"/>
      <c r="C407" s="12"/>
      <c r="D407" s="12"/>
      <c r="E407" s="64"/>
      <c r="F407" s="11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99"/>
      <c r="R407" s="35"/>
      <c r="W407" s="32">
        <f t="shared" si="167"/>
        <v>0</v>
      </c>
      <c r="GB407" s="26"/>
      <c r="GC407" s="26"/>
      <c r="GD407" s="26"/>
      <c r="GE407" s="26"/>
      <c r="GF407" s="26"/>
      <c r="GG407" s="26"/>
      <c r="GH407" s="26"/>
      <c r="GI407" s="26"/>
      <c r="GJ407" s="26"/>
      <c r="GK407" s="26"/>
      <c r="GL407" s="26"/>
      <c r="GM407" s="26"/>
      <c r="GN407" s="26"/>
      <c r="GO407" s="26"/>
      <c r="GP407" s="26"/>
      <c r="GQ407" s="26"/>
      <c r="GR407" s="26"/>
      <c r="GS407" s="26"/>
      <c r="GT407" s="26"/>
      <c r="GU407" s="26"/>
      <c r="GV407" s="26"/>
      <c r="GW407" s="26"/>
      <c r="GX407" s="26"/>
      <c r="GY407" s="26"/>
      <c r="GZ407" s="26"/>
      <c r="HA407" s="26"/>
      <c r="HB407" s="26"/>
      <c r="HC407" s="26"/>
      <c r="HD407" s="26"/>
      <c r="HE407" s="26"/>
      <c r="HF407" s="26"/>
      <c r="HG407" s="26"/>
      <c r="HH407" s="26"/>
    </row>
    <row r="408" s="8" customFormat="1" hidden="1">
      <c r="A408" s="28"/>
      <c r="B408" s="73"/>
      <c r="C408" s="14"/>
      <c r="D408" s="14"/>
      <c r="E408" s="11"/>
      <c r="F408" s="11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99"/>
      <c r="R408" s="81"/>
      <c r="W408" s="32">
        <f t="shared" si="167"/>
        <v>0</v>
      </c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  <c r="GX408" s="8"/>
      <c r="GY408" s="8"/>
      <c r="GZ408" s="8"/>
      <c r="HA408" s="8"/>
      <c r="HB408" s="8"/>
      <c r="HC408" s="8"/>
      <c r="HD408" s="8"/>
      <c r="HE408" s="8"/>
      <c r="HF408" s="8"/>
      <c r="HG408" s="8"/>
      <c r="HH408" s="8"/>
    </row>
    <row r="409" ht="15.75" hidden="1">
      <c r="A409" s="28"/>
      <c r="B409" s="73"/>
      <c r="C409" s="14"/>
      <c r="D409" s="14"/>
      <c r="E409" s="11"/>
      <c r="F409" s="11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99"/>
      <c r="R409" s="35"/>
      <c r="W409" s="32">
        <f t="shared" si="167"/>
        <v>0</v>
      </c>
    </row>
    <row r="410" ht="15" hidden="1" customHeight="1">
      <c r="A410" s="28"/>
      <c r="B410" s="73"/>
      <c r="C410" s="16"/>
      <c r="D410" s="16"/>
      <c r="E410" s="11"/>
      <c r="F410" s="11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99"/>
      <c r="R410" s="35"/>
      <c r="W410" s="32">
        <f t="shared" si="167"/>
        <v>0</v>
      </c>
    </row>
    <row r="411" ht="15.75" hidden="1">
      <c r="A411" s="28"/>
      <c r="B411" s="73"/>
      <c r="C411" s="11"/>
      <c r="D411" s="11"/>
      <c r="E411" s="12"/>
      <c r="F411" s="11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99"/>
      <c r="R411" s="35"/>
      <c r="W411" s="32">
        <f t="shared" si="167"/>
        <v>0</v>
      </c>
    </row>
    <row r="412" ht="15.75" hidden="1">
      <c r="A412" s="28"/>
      <c r="B412" s="73"/>
      <c r="C412" s="11"/>
      <c r="D412" s="11"/>
      <c r="E412" s="14"/>
      <c r="F412" s="11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99"/>
      <c r="R412" s="35"/>
      <c r="W412" s="32">
        <f t="shared" si="167"/>
        <v>0</v>
      </c>
    </row>
    <row r="413" ht="15.75" hidden="1">
      <c r="A413" s="28"/>
      <c r="B413" s="74"/>
      <c r="C413" s="11"/>
      <c r="D413" s="11"/>
      <c r="E413" s="14"/>
      <c r="F413" s="11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99"/>
      <c r="R413" s="35"/>
      <c r="W413" s="32">
        <f t="shared" si="167"/>
        <v>0</v>
      </c>
    </row>
    <row r="414" s="26" customFormat="1" ht="15.75" hidden="1" customHeight="1">
      <c r="A414" s="28"/>
      <c r="B414" s="73"/>
      <c r="C414" s="12"/>
      <c r="D414" s="12"/>
      <c r="E414" s="16"/>
      <c r="F414" s="11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99"/>
      <c r="R414" s="35"/>
      <c r="W414" s="32">
        <f t="shared" si="167"/>
        <v>0</v>
      </c>
      <c r="GB414" s="26"/>
      <c r="GC414" s="26"/>
      <c r="GD414" s="26"/>
      <c r="GE414" s="26"/>
      <c r="GF414" s="26"/>
      <c r="GG414" s="26"/>
      <c r="GH414" s="26"/>
      <c r="GI414" s="26"/>
      <c r="GJ414" s="26"/>
      <c r="GK414" s="26"/>
      <c r="GL414" s="26"/>
      <c r="GM414" s="26"/>
      <c r="GN414" s="26"/>
      <c r="GO414" s="26"/>
      <c r="GP414" s="26"/>
      <c r="GQ414" s="26"/>
      <c r="GR414" s="26"/>
      <c r="GS414" s="26"/>
      <c r="GT414" s="26"/>
      <c r="GU414" s="26"/>
      <c r="GV414" s="26"/>
      <c r="GW414" s="26"/>
      <c r="GX414" s="26"/>
      <c r="GY414" s="26"/>
      <c r="GZ414" s="26"/>
      <c r="HA414" s="26"/>
      <c r="HB414" s="26"/>
      <c r="HC414" s="26"/>
      <c r="HD414" s="26"/>
      <c r="HE414" s="26"/>
      <c r="HF414" s="26"/>
      <c r="HG414" s="26"/>
      <c r="HH414" s="26"/>
    </row>
    <row r="415" s="8" customFormat="1" hidden="1">
      <c r="A415" s="28"/>
      <c r="B415" s="73"/>
      <c r="C415" s="14"/>
      <c r="D415" s="14"/>
      <c r="E415" s="11"/>
      <c r="F415" s="11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99"/>
      <c r="R415" s="81"/>
      <c r="W415" s="32">
        <f t="shared" si="167"/>
        <v>0</v>
      </c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</row>
    <row r="416" ht="15.75" hidden="1">
      <c r="A416" s="28"/>
      <c r="B416" s="73"/>
      <c r="C416" s="14"/>
      <c r="D416" s="14"/>
      <c r="E416" s="11"/>
      <c r="F416" s="11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99"/>
      <c r="R416" s="35"/>
      <c r="W416" s="32">
        <f t="shared" si="167"/>
        <v>0</v>
      </c>
    </row>
    <row r="417" ht="15" hidden="1" customHeight="1">
      <c r="A417" s="28"/>
      <c r="B417" s="73"/>
      <c r="C417" s="16"/>
      <c r="D417" s="16"/>
      <c r="E417" s="11"/>
      <c r="F417" s="11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99"/>
      <c r="R417" s="35"/>
      <c r="W417" s="32">
        <f t="shared" si="167"/>
        <v>0</v>
      </c>
    </row>
    <row r="418" ht="15.75" hidden="1">
      <c r="A418" s="28"/>
      <c r="B418" s="73"/>
      <c r="C418" s="11"/>
      <c r="D418" s="11"/>
      <c r="E418" s="12"/>
      <c r="F418" s="11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99"/>
      <c r="R418" s="35"/>
      <c r="W418" s="32">
        <f t="shared" si="167"/>
        <v>0</v>
      </c>
    </row>
    <row r="419" ht="15.75" hidden="1">
      <c r="A419" s="28"/>
      <c r="B419" s="73"/>
      <c r="C419" s="11"/>
      <c r="D419" s="11"/>
      <c r="E419" s="14"/>
      <c r="F419" s="11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99"/>
      <c r="R419" s="35"/>
      <c r="W419" s="32">
        <f t="shared" si="167"/>
        <v>0</v>
      </c>
    </row>
    <row r="420" ht="15.75" hidden="1">
      <c r="A420" s="28"/>
      <c r="B420" s="74"/>
      <c r="C420" s="11"/>
      <c r="D420" s="11"/>
      <c r="E420" s="14"/>
      <c r="F420" s="11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99"/>
      <c r="R420" s="35"/>
      <c r="W420" s="32">
        <f t="shared" si="167"/>
        <v>0</v>
      </c>
    </row>
    <row r="421" s="26" customFormat="1" ht="15.75" hidden="1" customHeight="1">
      <c r="A421" s="28"/>
      <c r="B421" s="73"/>
      <c r="C421" s="12"/>
      <c r="D421" s="12"/>
      <c r="E421" s="16"/>
      <c r="F421" s="11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99"/>
      <c r="R421" s="35"/>
      <c r="W421" s="32">
        <f t="shared" si="167"/>
        <v>0</v>
      </c>
      <c r="GB421" s="26"/>
      <c r="GC421" s="26"/>
      <c r="GD421" s="26"/>
      <c r="GE421" s="26"/>
      <c r="GF421" s="26"/>
      <c r="GG421" s="26"/>
      <c r="GH421" s="26"/>
      <c r="GI421" s="26"/>
      <c r="GJ421" s="26"/>
      <c r="GK421" s="26"/>
      <c r="GL421" s="26"/>
      <c r="GM421" s="26"/>
      <c r="GN421" s="26"/>
      <c r="GO421" s="26"/>
      <c r="GP421" s="26"/>
      <c r="GQ421" s="26"/>
      <c r="GR421" s="26"/>
      <c r="GS421" s="26"/>
      <c r="GT421" s="26"/>
      <c r="GU421" s="26"/>
      <c r="GV421" s="26"/>
      <c r="GW421" s="26"/>
      <c r="GX421" s="26"/>
      <c r="GY421" s="26"/>
      <c r="GZ421" s="26"/>
      <c r="HA421" s="26"/>
      <c r="HB421" s="26"/>
      <c r="HC421" s="26"/>
      <c r="HD421" s="26"/>
      <c r="HE421" s="26"/>
      <c r="HF421" s="26"/>
      <c r="HG421" s="26"/>
      <c r="HH421" s="26"/>
    </row>
    <row r="422" s="8" customFormat="1" hidden="1">
      <c r="A422" s="28"/>
      <c r="B422" s="73"/>
      <c r="C422" s="14"/>
      <c r="D422" s="14"/>
      <c r="E422" s="11"/>
      <c r="F422" s="11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99"/>
      <c r="R422" s="81"/>
      <c r="W422" s="32">
        <f t="shared" si="167"/>
        <v>0</v>
      </c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</row>
    <row r="423" ht="15.75" hidden="1">
      <c r="A423" s="28"/>
      <c r="B423" s="73"/>
      <c r="C423" s="14"/>
      <c r="D423" s="14"/>
      <c r="E423" s="11"/>
      <c r="F423" s="11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99"/>
      <c r="R423" s="35"/>
      <c r="W423" s="32">
        <f t="shared" si="167"/>
        <v>0</v>
      </c>
    </row>
    <row r="424" ht="15" hidden="1" customHeight="1">
      <c r="A424" s="28"/>
      <c r="B424" s="73"/>
      <c r="C424" s="16"/>
      <c r="D424" s="16"/>
      <c r="E424" s="11"/>
      <c r="F424" s="11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99"/>
      <c r="R424" s="35"/>
      <c r="W424" s="32">
        <f t="shared" si="167"/>
        <v>0</v>
      </c>
    </row>
    <row r="425" ht="15.75" hidden="1">
      <c r="A425" s="28"/>
      <c r="B425" s="73"/>
      <c r="C425" s="11"/>
      <c r="D425" s="11"/>
      <c r="E425" s="12"/>
      <c r="F425" s="11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99"/>
      <c r="R425" s="35"/>
      <c r="W425" s="32">
        <f t="shared" si="167"/>
        <v>0</v>
      </c>
    </row>
    <row r="426" ht="15.75" hidden="1">
      <c r="A426" s="28"/>
      <c r="B426" s="73"/>
      <c r="C426" s="11"/>
      <c r="D426" s="11"/>
      <c r="E426" s="14"/>
      <c r="F426" s="11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99"/>
      <c r="R426" s="35"/>
      <c r="W426" s="32">
        <f t="shared" si="167"/>
        <v>0</v>
      </c>
    </row>
    <row r="427" ht="15.75" hidden="1">
      <c r="A427" s="28"/>
      <c r="B427" s="74"/>
      <c r="C427" s="11"/>
      <c r="D427" s="11"/>
      <c r="E427" s="14"/>
      <c r="F427" s="11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99"/>
      <c r="R427" s="35"/>
      <c r="W427" s="32">
        <f t="shared" si="167"/>
        <v>0</v>
      </c>
    </row>
    <row r="428" s="26" customFormat="1" ht="15.75" hidden="1" customHeight="1">
      <c r="A428" s="28"/>
      <c r="B428" s="73"/>
      <c r="C428" s="12"/>
      <c r="D428" s="12"/>
      <c r="E428" s="16"/>
      <c r="F428" s="11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99"/>
      <c r="R428" s="35"/>
      <c r="W428" s="32">
        <f t="shared" si="167"/>
        <v>0</v>
      </c>
      <c r="GB428" s="26"/>
      <c r="GC428" s="26"/>
      <c r="GD428" s="26"/>
      <c r="GE428" s="26"/>
      <c r="GF428" s="26"/>
      <c r="GG428" s="26"/>
      <c r="GH428" s="26"/>
      <c r="GI428" s="26"/>
      <c r="GJ428" s="26"/>
      <c r="GK428" s="26"/>
      <c r="GL428" s="26"/>
      <c r="GM428" s="26"/>
      <c r="GN428" s="26"/>
      <c r="GO428" s="26"/>
      <c r="GP428" s="26"/>
      <c r="GQ428" s="26"/>
      <c r="GR428" s="26"/>
      <c r="GS428" s="26"/>
      <c r="GT428" s="26"/>
      <c r="GU428" s="26"/>
      <c r="GV428" s="26"/>
      <c r="GW428" s="26"/>
      <c r="GX428" s="26"/>
      <c r="GY428" s="26"/>
      <c r="GZ428" s="26"/>
      <c r="HA428" s="26"/>
      <c r="HB428" s="26"/>
      <c r="HC428" s="26"/>
      <c r="HD428" s="26"/>
      <c r="HE428" s="26"/>
      <c r="HF428" s="26"/>
      <c r="HG428" s="26"/>
      <c r="HH428" s="26"/>
    </row>
    <row r="429" s="8" customFormat="1" hidden="1">
      <c r="A429" s="28"/>
      <c r="B429" s="73"/>
      <c r="C429" s="14"/>
      <c r="D429" s="14"/>
      <c r="E429" s="11"/>
      <c r="F429" s="11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99"/>
      <c r="R429" s="81"/>
      <c r="W429" s="32">
        <f t="shared" si="167"/>
        <v>0</v>
      </c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</row>
    <row r="430" ht="15.75" hidden="1">
      <c r="A430" s="28"/>
      <c r="B430" s="73"/>
      <c r="C430" s="14"/>
      <c r="D430" s="14"/>
      <c r="E430" s="11"/>
      <c r="F430" s="11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99"/>
      <c r="R430" s="35"/>
      <c r="W430" s="32">
        <f t="shared" si="167"/>
        <v>0</v>
      </c>
    </row>
    <row r="431" ht="15" hidden="1" customHeight="1">
      <c r="A431" s="28"/>
      <c r="B431" s="73"/>
      <c r="C431" s="16"/>
      <c r="D431" s="16"/>
      <c r="E431" s="11"/>
      <c r="F431" s="11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99"/>
      <c r="R431" s="35"/>
      <c r="W431" s="32">
        <f t="shared" si="167"/>
        <v>0</v>
      </c>
    </row>
    <row r="432" ht="15.75" hidden="1">
      <c r="A432" s="28"/>
      <c r="B432" s="73"/>
      <c r="C432" s="11"/>
      <c r="D432" s="11"/>
      <c r="E432" s="12"/>
      <c r="F432" s="11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99"/>
      <c r="R432" s="35"/>
      <c r="W432" s="32">
        <f t="shared" si="167"/>
        <v>0</v>
      </c>
    </row>
    <row r="433" ht="15.75" hidden="1">
      <c r="A433" s="28"/>
      <c r="B433" s="73"/>
      <c r="C433" s="11"/>
      <c r="D433" s="11"/>
      <c r="E433" s="14"/>
      <c r="F433" s="11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99"/>
      <c r="R433" s="35"/>
      <c r="W433" s="32">
        <f t="shared" si="167"/>
        <v>0</v>
      </c>
    </row>
    <row r="434" ht="15.75" hidden="1">
      <c r="A434" s="41"/>
      <c r="B434" s="74"/>
      <c r="C434" s="11"/>
      <c r="D434" s="11"/>
      <c r="E434" s="14"/>
      <c r="F434" s="11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99"/>
      <c r="R434" s="35"/>
      <c r="W434" s="32">
        <f t="shared" si="167"/>
        <v>0</v>
      </c>
    </row>
    <row r="435" ht="15.6" customHeight="1">
      <c r="A435" s="41"/>
      <c r="B435" s="50" t="s">
        <v>130</v>
      </c>
      <c r="C435" s="13"/>
      <c r="D435" s="22"/>
      <c r="E435" s="13"/>
      <c r="F435" s="13" t="s">
        <v>22</v>
      </c>
      <c r="G435" s="23">
        <f t="shared" ref="G435:P435" si="174">SUM(G436:G446)</f>
        <v>40260</v>
      </c>
      <c r="H435" s="23">
        <f t="shared" si="174"/>
        <v>10000</v>
      </c>
      <c r="I435" s="23">
        <f t="shared" si="174"/>
        <v>5260</v>
      </c>
      <c r="J435" s="23">
        <f t="shared" si="174"/>
        <v>0</v>
      </c>
      <c r="K435" s="23">
        <f t="shared" si="174"/>
        <v>35000</v>
      </c>
      <c r="L435" s="23">
        <f t="shared" si="174"/>
        <v>10000</v>
      </c>
      <c r="M435" s="23">
        <f t="shared" si="174"/>
        <v>0</v>
      </c>
      <c r="N435" s="23">
        <f t="shared" si="174"/>
        <v>0</v>
      </c>
      <c r="O435" s="23">
        <f t="shared" si="174"/>
        <v>0</v>
      </c>
      <c r="P435" s="23">
        <f t="shared" si="174"/>
        <v>0</v>
      </c>
      <c r="Q435" s="52"/>
      <c r="R435" s="35"/>
      <c r="W435" s="32">
        <f t="shared" si="167"/>
        <v>5260</v>
      </c>
    </row>
    <row r="436" s="26" customFormat="1" ht="35.25" hidden="1" customHeight="1">
      <c r="A436" s="22"/>
      <c r="B436" s="50" t="s">
        <v>131</v>
      </c>
      <c r="C436" s="13"/>
      <c r="D436" s="28"/>
      <c r="E436" s="13"/>
      <c r="F436" s="13" t="s">
        <v>24</v>
      </c>
      <c r="G436" s="23">
        <f t="shared" ref="G436:G446" si="175">I436+K436+M436+O436</f>
        <v>0</v>
      </c>
      <c r="H436" s="23">
        <f t="shared" ref="H436:H446" si="176">J436+L436+N436+P436</f>
        <v>0</v>
      </c>
      <c r="I436" s="23"/>
      <c r="J436" s="23"/>
      <c r="K436" s="23"/>
      <c r="L436" s="23"/>
      <c r="M436" s="23"/>
      <c r="N436" s="23"/>
      <c r="O436" s="23"/>
      <c r="P436" s="23"/>
      <c r="Q436" s="52"/>
      <c r="R436" s="35"/>
      <c r="W436" s="32">
        <f t="shared" si="167"/>
        <v>0</v>
      </c>
      <c r="GB436" s="26"/>
      <c r="GC436" s="26"/>
      <c r="GD436" s="26"/>
      <c r="GE436" s="26"/>
      <c r="GF436" s="26"/>
      <c r="GG436" s="26"/>
      <c r="GH436" s="26"/>
      <c r="GI436" s="26"/>
      <c r="GJ436" s="26"/>
      <c r="GK436" s="26"/>
      <c r="GL436" s="26"/>
      <c r="GM436" s="26"/>
      <c r="GN436" s="26"/>
      <c r="GO436" s="26"/>
      <c r="GP436" s="26"/>
      <c r="GQ436" s="26"/>
      <c r="GR436" s="26"/>
      <c r="GS436" s="26"/>
      <c r="GT436" s="26"/>
      <c r="GU436" s="26"/>
      <c r="GV436" s="26"/>
      <c r="GW436" s="26"/>
      <c r="GX436" s="26"/>
      <c r="GY436" s="26"/>
      <c r="GZ436" s="26"/>
      <c r="HA436" s="26"/>
      <c r="HB436" s="26"/>
      <c r="HC436" s="26"/>
      <c r="HD436" s="26"/>
      <c r="HE436" s="26"/>
      <c r="HF436" s="26"/>
      <c r="HG436" s="26"/>
      <c r="HH436" s="26"/>
    </row>
    <row r="437" s="26" customFormat="1" ht="15.75" hidden="1" customHeight="1">
      <c r="A437" s="28"/>
      <c r="B437" s="50"/>
      <c r="C437" s="22" t="s">
        <v>132</v>
      </c>
      <c r="D437" s="28"/>
      <c r="E437" s="13"/>
      <c r="F437" s="13" t="s">
        <v>26</v>
      </c>
      <c r="G437" s="23">
        <f t="shared" si="175"/>
        <v>0</v>
      </c>
      <c r="H437" s="23">
        <f t="shared" si="176"/>
        <v>0</v>
      </c>
      <c r="I437" s="23"/>
      <c r="J437" s="23"/>
      <c r="K437" s="23"/>
      <c r="L437" s="23"/>
      <c r="M437" s="23"/>
      <c r="N437" s="23"/>
      <c r="O437" s="23"/>
      <c r="P437" s="23"/>
      <c r="Q437" s="52"/>
      <c r="R437" s="35"/>
      <c r="W437" s="32">
        <f t="shared" si="167"/>
        <v>0</v>
      </c>
      <c r="GB437" s="26"/>
      <c r="GC437" s="26"/>
      <c r="GD437" s="26"/>
      <c r="GE437" s="26"/>
      <c r="GF437" s="26"/>
      <c r="GG437" s="26"/>
      <c r="GH437" s="26"/>
      <c r="GI437" s="26"/>
      <c r="GJ437" s="26"/>
      <c r="GK437" s="26"/>
      <c r="GL437" s="26"/>
      <c r="GM437" s="26"/>
      <c r="GN437" s="26"/>
      <c r="GO437" s="26"/>
      <c r="GP437" s="26"/>
      <c r="GQ437" s="26"/>
      <c r="GR437" s="26"/>
      <c r="GS437" s="26"/>
      <c r="GT437" s="26"/>
      <c r="GU437" s="26"/>
      <c r="GV437" s="26"/>
      <c r="GW437" s="26"/>
      <c r="GX437" s="26"/>
      <c r="GY437" s="26"/>
      <c r="GZ437" s="26"/>
      <c r="HA437" s="26"/>
      <c r="HB437" s="26"/>
      <c r="HC437" s="26"/>
      <c r="HD437" s="26"/>
      <c r="HE437" s="26"/>
      <c r="HF437" s="26"/>
      <c r="HG437" s="26"/>
      <c r="HH437" s="26"/>
    </row>
    <row r="438" s="26" customFormat="1" ht="15.6" hidden="1" customHeight="1">
      <c r="A438" s="28"/>
      <c r="B438" s="50"/>
      <c r="C438" s="28"/>
      <c r="D438" s="28"/>
      <c r="E438" s="13"/>
      <c r="F438" s="13" t="s">
        <v>27</v>
      </c>
      <c r="G438" s="23">
        <f t="shared" si="175"/>
        <v>0</v>
      </c>
      <c r="H438" s="23">
        <f t="shared" si="176"/>
        <v>0</v>
      </c>
      <c r="I438" s="23"/>
      <c r="J438" s="23"/>
      <c r="K438" s="23"/>
      <c r="L438" s="23"/>
      <c r="M438" s="23"/>
      <c r="N438" s="23"/>
      <c r="O438" s="23"/>
      <c r="P438" s="23"/>
      <c r="Q438" s="52"/>
      <c r="R438" s="35"/>
      <c r="W438" s="32">
        <f t="shared" si="167"/>
        <v>0</v>
      </c>
      <c r="Z438" s="37"/>
      <c r="GB438" s="26"/>
      <c r="GC438" s="26"/>
      <c r="GD438" s="26"/>
      <c r="GE438" s="26"/>
      <c r="GF438" s="26"/>
      <c r="GG438" s="26"/>
      <c r="GH438" s="26"/>
      <c r="GI438" s="26"/>
      <c r="GJ438" s="26"/>
      <c r="GK438" s="26"/>
      <c r="GL438" s="26"/>
      <c r="GM438" s="26"/>
      <c r="GN438" s="26"/>
      <c r="GO438" s="26"/>
      <c r="GP438" s="26"/>
      <c r="GQ438" s="26"/>
      <c r="GR438" s="26"/>
      <c r="GS438" s="26"/>
      <c r="GT438" s="26"/>
      <c r="GU438" s="26"/>
      <c r="GV438" s="26"/>
      <c r="GW438" s="26"/>
      <c r="GX438" s="26"/>
      <c r="GY438" s="26"/>
      <c r="GZ438" s="26"/>
      <c r="HA438" s="26"/>
      <c r="HB438" s="26"/>
      <c r="HC438" s="26"/>
      <c r="HD438" s="26"/>
      <c r="HE438" s="26"/>
      <c r="HF438" s="26"/>
      <c r="HG438" s="26"/>
      <c r="HH438" s="26"/>
    </row>
    <row r="439" s="26" customFormat="1" ht="15.6" hidden="1" customHeight="1">
      <c r="A439" s="28"/>
      <c r="B439" s="50"/>
      <c r="C439" s="28"/>
      <c r="D439" s="28"/>
      <c r="E439" s="13"/>
      <c r="F439" s="13" t="s">
        <v>28</v>
      </c>
      <c r="G439" s="23">
        <f t="shared" si="175"/>
        <v>0</v>
      </c>
      <c r="H439" s="23">
        <f t="shared" si="176"/>
        <v>0</v>
      </c>
      <c r="I439" s="23"/>
      <c r="J439" s="23"/>
      <c r="K439" s="23"/>
      <c r="L439" s="23"/>
      <c r="M439" s="23"/>
      <c r="N439" s="23"/>
      <c r="O439" s="23"/>
      <c r="P439" s="23"/>
      <c r="Q439" s="52"/>
      <c r="R439" s="35"/>
      <c r="W439" s="32">
        <f t="shared" si="167"/>
        <v>0</v>
      </c>
      <c r="GB439" s="26"/>
      <c r="GC439" s="26"/>
      <c r="GD439" s="26"/>
      <c r="GE439" s="26"/>
      <c r="GF439" s="26"/>
      <c r="GG439" s="26"/>
      <c r="GH439" s="26"/>
      <c r="GI439" s="26"/>
      <c r="GJ439" s="26"/>
      <c r="GK439" s="26"/>
      <c r="GL439" s="26"/>
      <c r="GM439" s="26"/>
      <c r="GN439" s="26"/>
      <c r="GO439" s="26"/>
      <c r="GP439" s="26"/>
      <c r="GQ439" s="26"/>
      <c r="GR439" s="26"/>
      <c r="GS439" s="26"/>
      <c r="GT439" s="26"/>
      <c r="GU439" s="26"/>
      <c r="GV439" s="26"/>
      <c r="GW439" s="26"/>
      <c r="GX439" s="26"/>
      <c r="GY439" s="26"/>
      <c r="GZ439" s="26"/>
      <c r="HA439" s="26"/>
      <c r="HB439" s="26"/>
      <c r="HC439" s="26"/>
      <c r="HD439" s="26"/>
      <c r="HE439" s="26"/>
      <c r="HF439" s="26"/>
      <c r="HG439" s="26"/>
      <c r="HH439" s="26"/>
    </row>
    <row r="440" s="26" customFormat="1">
      <c r="A440" s="28"/>
      <c r="B440" s="50"/>
      <c r="C440" s="28"/>
      <c r="D440" s="28"/>
      <c r="E440" s="13"/>
      <c r="F440" s="13" t="s">
        <v>29</v>
      </c>
      <c r="G440" s="23">
        <f t="shared" si="175"/>
        <v>5000</v>
      </c>
      <c r="H440" s="23">
        <f t="shared" si="176"/>
        <v>5000</v>
      </c>
      <c r="I440" s="23">
        <f t="shared" ref="I440:P446" si="177">I452</f>
        <v>0</v>
      </c>
      <c r="J440" s="23">
        <f t="shared" ref="J440:P440" si="178">J452</f>
        <v>0</v>
      </c>
      <c r="K440" s="23">
        <f t="shared" si="178"/>
        <v>5000</v>
      </c>
      <c r="L440" s="23">
        <f t="shared" si="178"/>
        <v>5000</v>
      </c>
      <c r="M440" s="23">
        <f t="shared" si="178"/>
        <v>0</v>
      </c>
      <c r="N440" s="23">
        <f t="shared" si="178"/>
        <v>0</v>
      </c>
      <c r="O440" s="23">
        <f t="shared" si="178"/>
        <v>0</v>
      </c>
      <c r="P440" s="23">
        <f t="shared" si="178"/>
        <v>0</v>
      </c>
      <c r="Q440" s="52"/>
      <c r="R440" s="35"/>
      <c r="W440" s="32">
        <f t="shared" si="167"/>
        <v>0</v>
      </c>
      <c r="GB440" s="26"/>
      <c r="GC440" s="26"/>
      <c r="GD440" s="26"/>
      <c r="GE440" s="26"/>
      <c r="GF440" s="26"/>
      <c r="GG440" s="26"/>
      <c r="GH440" s="26"/>
      <c r="GI440" s="26"/>
      <c r="GJ440" s="26"/>
      <c r="GK440" s="26"/>
      <c r="GL440" s="26"/>
      <c r="GM440" s="26"/>
      <c r="GN440" s="26"/>
      <c r="GO440" s="26"/>
      <c r="GP440" s="26"/>
      <c r="GQ440" s="26"/>
      <c r="GR440" s="26"/>
      <c r="GS440" s="26"/>
      <c r="GT440" s="26"/>
      <c r="GU440" s="26"/>
      <c r="GV440" s="26"/>
      <c r="GW440" s="26"/>
      <c r="GX440" s="26"/>
      <c r="GY440" s="26"/>
      <c r="GZ440" s="26"/>
      <c r="HA440" s="26"/>
      <c r="HB440" s="26"/>
      <c r="HC440" s="26"/>
      <c r="HD440" s="26"/>
      <c r="HE440" s="26"/>
      <c r="HF440" s="26"/>
      <c r="HG440" s="26"/>
      <c r="HH440" s="26"/>
    </row>
    <row r="441" s="26" customFormat="1">
      <c r="A441" s="28"/>
      <c r="B441" s="50"/>
      <c r="C441" s="28"/>
      <c r="D441" s="28"/>
      <c r="E441" s="13"/>
      <c r="F441" s="13" t="s">
        <v>30</v>
      </c>
      <c r="G441" s="23">
        <f t="shared" si="175"/>
        <v>5260</v>
      </c>
      <c r="H441" s="23">
        <f t="shared" si="176"/>
        <v>0</v>
      </c>
      <c r="I441" s="23">
        <f t="shared" si="177"/>
        <v>260</v>
      </c>
      <c r="J441" s="23">
        <f t="shared" si="177"/>
        <v>0</v>
      </c>
      <c r="K441" s="23">
        <f t="shared" si="177"/>
        <v>5000</v>
      </c>
      <c r="L441" s="23">
        <f t="shared" si="177"/>
        <v>0</v>
      </c>
      <c r="M441" s="23">
        <f t="shared" si="177"/>
        <v>0</v>
      </c>
      <c r="N441" s="23">
        <f t="shared" si="177"/>
        <v>0</v>
      </c>
      <c r="O441" s="23">
        <f t="shared" si="177"/>
        <v>0</v>
      </c>
      <c r="P441" s="23">
        <f t="shared" si="177"/>
        <v>0</v>
      </c>
      <c r="Q441" s="52"/>
      <c r="R441" s="35"/>
      <c r="W441" s="32">
        <f t="shared" si="167"/>
        <v>260</v>
      </c>
      <c r="GB441" s="26"/>
      <c r="GC441" s="26"/>
      <c r="GD441" s="26"/>
      <c r="GE441" s="26"/>
      <c r="GF441" s="26"/>
      <c r="GG441" s="26"/>
      <c r="GH441" s="26"/>
      <c r="GI441" s="26"/>
      <c r="GJ441" s="26"/>
      <c r="GK441" s="26"/>
      <c r="GL441" s="26"/>
      <c r="GM441" s="26"/>
      <c r="GN441" s="26"/>
      <c r="GO441" s="26"/>
      <c r="GP441" s="26"/>
      <c r="GQ441" s="26"/>
      <c r="GR441" s="26"/>
      <c r="GS441" s="26"/>
      <c r="GT441" s="26"/>
      <c r="GU441" s="26"/>
      <c r="GV441" s="26"/>
      <c r="GW441" s="26"/>
      <c r="GX441" s="26"/>
      <c r="GY441" s="26"/>
      <c r="GZ441" s="26"/>
      <c r="HA441" s="26"/>
      <c r="HB441" s="26"/>
      <c r="HC441" s="26"/>
      <c r="HD441" s="26"/>
      <c r="HE441" s="26"/>
      <c r="HF441" s="26"/>
      <c r="HG441" s="26"/>
      <c r="HH441" s="26"/>
    </row>
    <row r="442" s="26" customFormat="1">
      <c r="A442" s="28"/>
      <c r="B442" s="50"/>
      <c r="C442" s="28"/>
      <c r="D442" s="28"/>
      <c r="E442" s="13"/>
      <c r="F442" s="13" t="s">
        <v>31</v>
      </c>
      <c r="G442" s="23">
        <f t="shared" si="175"/>
        <v>6000</v>
      </c>
      <c r="H442" s="23">
        <f t="shared" si="176"/>
        <v>5000</v>
      </c>
      <c r="I442" s="23">
        <f t="shared" si="177"/>
        <v>1000</v>
      </c>
      <c r="J442" s="23">
        <f t="shared" si="177"/>
        <v>0</v>
      </c>
      <c r="K442" s="23">
        <f t="shared" si="177"/>
        <v>5000</v>
      </c>
      <c r="L442" s="23">
        <f t="shared" si="177"/>
        <v>5000</v>
      </c>
      <c r="M442" s="23">
        <f t="shared" si="177"/>
        <v>0</v>
      </c>
      <c r="N442" s="23">
        <f t="shared" si="177"/>
        <v>0</v>
      </c>
      <c r="O442" s="23">
        <f t="shared" si="177"/>
        <v>0</v>
      </c>
      <c r="P442" s="23">
        <f t="shared" si="177"/>
        <v>0</v>
      </c>
      <c r="Q442" s="52"/>
      <c r="R442" s="35"/>
      <c r="W442" s="32">
        <f t="shared" si="167"/>
        <v>1000</v>
      </c>
      <c r="GB442" s="26"/>
      <c r="GC442" s="26"/>
      <c r="GD442" s="26"/>
      <c r="GE442" s="26"/>
      <c r="GF442" s="26"/>
      <c r="GG442" s="26"/>
      <c r="GH442" s="26"/>
      <c r="GI442" s="26"/>
      <c r="GJ442" s="26"/>
      <c r="GK442" s="26"/>
      <c r="GL442" s="26"/>
      <c r="GM442" s="26"/>
      <c r="GN442" s="26"/>
      <c r="GO442" s="26"/>
      <c r="GP442" s="26"/>
      <c r="GQ442" s="26"/>
      <c r="GR442" s="26"/>
      <c r="GS442" s="26"/>
      <c r="GT442" s="26"/>
      <c r="GU442" s="26"/>
      <c r="GV442" s="26"/>
      <c r="GW442" s="26"/>
      <c r="GX442" s="26"/>
      <c r="GY442" s="26"/>
      <c r="GZ442" s="26"/>
      <c r="HA442" s="26"/>
      <c r="HB442" s="26"/>
      <c r="HC442" s="26"/>
      <c r="HD442" s="26"/>
      <c r="HE442" s="26"/>
      <c r="HF442" s="26"/>
      <c r="HG442" s="26"/>
      <c r="HH442" s="26"/>
    </row>
    <row r="443" s="26" customFormat="1">
      <c r="A443" s="28"/>
      <c r="B443" s="50"/>
      <c r="C443" s="28"/>
      <c r="D443" s="28"/>
      <c r="E443" s="13"/>
      <c r="F443" s="13" t="s">
        <v>32</v>
      </c>
      <c r="G443" s="23">
        <f t="shared" si="175"/>
        <v>6000</v>
      </c>
      <c r="H443" s="23">
        <f t="shared" si="176"/>
        <v>0</v>
      </c>
      <c r="I443" s="23">
        <f t="shared" si="177"/>
        <v>1000</v>
      </c>
      <c r="J443" s="23">
        <f t="shared" si="177"/>
        <v>0</v>
      </c>
      <c r="K443" s="23">
        <f t="shared" si="177"/>
        <v>5000</v>
      </c>
      <c r="L443" s="23">
        <f t="shared" si="177"/>
        <v>0</v>
      </c>
      <c r="M443" s="23">
        <f t="shared" si="177"/>
        <v>0</v>
      </c>
      <c r="N443" s="23">
        <f t="shared" si="177"/>
        <v>0</v>
      </c>
      <c r="O443" s="23">
        <f t="shared" si="177"/>
        <v>0</v>
      </c>
      <c r="P443" s="23">
        <f t="shared" si="177"/>
        <v>0</v>
      </c>
      <c r="Q443" s="52"/>
      <c r="R443" s="35"/>
      <c r="W443" s="32">
        <f t="shared" si="167"/>
        <v>1000</v>
      </c>
      <c r="GB443" s="26"/>
      <c r="GC443" s="26"/>
      <c r="GD443" s="26"/>
      <c r="GE443" s="26"/>
      <c r="GF443" s="26"/>
      <c r="GG443" s="26"/>
      <c r="GH443" s="26"/>
      <c r="GI443" s="26"/>
      <c r="GJ443" s="26"/>
      <c r="GK443" s="26"/>
      <c r="GL443" s="26"/>
      <c r="GM443" s="26"/>
      <c r="GN443" s="26"/>
      <c r="GO443" s="26"/>
      <c r="GP443" s="26"/>
      <c r="GQ443" s="26"/>
      <c r="GR443" s="26"/>
      <c r="GS443" s="26"/>
      <c r="GT443" s="26"/>
      <c r="GU443" s="26"/>
      <c r="GV443" s="26"/>
      <c r="GW443" s="26"/>
      <c r="GX443" s="26"/>
      <c r="GY443" s="26"/>
      <c r="GZ443" s="26"/>
      <c r="HA443" s="26"/>
      <c r="HB443" s="26"/>
      <c r="HC443" s="26"/>
      <c r="HD443" s="26"/>
      <c r="HE443" s="26"/>
      <c r="HF443" s="26"/>
      <c r="HG443" s="26"/>
      <c r="HH443" s="26"/>
    </row>
    <row r="444" s="26" customFormat="1">
      <c r="A444" s="28"/>
      <c r="B444" s="50"/>
      <c r="C444" s="28"/>
      <c r="D444" s="28"/>
      <c r="E444" s="13"/>
      <c r="F444" s="13" t="s">
        <v>33</v>
      </c>
      <c r="G444" s="23">
        <f t="shared" si="175"/>
        <v>6000</v>
      </c>
      <c r="H444" s="23">
        <f t="shared" si="176"/>
        <v>0</v>
      </c>
      <c r="I444" s="23">
        <f t="shared" si="177"/>
        <v>1000</v>
      </c>
      <c r="J444" s="23">
        <f t="shared" si="177"/>
        <v>0</v>
      </c>
      <c r="K444" s="23">
        <f t="shared" si="177"/>
        <v>5000</v>
      </c>
      <c r="L444" s="23">
        <f t="shared" si="177"/>
        <v>0</v>
      </c>
      <c r="M444" s="23">
        <f t="shared" si="177"/>
        <v>0</v>
      </c>
      <c r="N444" s="23">
        <f t="shared" si="177"/>
        <v>0</v>
      </c>
      <c r="O444" s="23">
        <f t="shared" si="177"/>
        <v>0</v>
      </c>
      <c r="P444" s="23">
        <f t="shared" si="177"/>
        <v>0</v>
      </c>
      <c r="Q444" s="52"/>
      <c r="R444" s="35"/>
      <c r="W444" s="32">
        <f t="shared" si="167"/>
        <v>1000</v>
      </c>
      <c r="GB444" s="26"/>
      <c r="GC444" s="26"/>
      <c r="GD444" s="26"/>
      <c r="GE444" s="26"/>
      <c r="GF444" s="26"/>
      <c r="GG444" s="26"/>
      <c r="GH444" s="26"/>
      <c r="GI444" s="26"/>
      <c r="GJ444" s="26"/>
      <c r="GK444" s="26"/>
      <c r="GL444" s="26"/>
      <c r="GM444" s="26"/>
      <c r="GN444" s="26"/>
      <c r="GO444" s="26"/>
      <c r="GP444" s="26"/>
      <c r="GQ444" s="26"/>
      <c r="GR444" s="26"/>
      <c r="GS444" s="26"/>
      <c r="GT444" s="26"/>
      <c r="GU444" s="26"/>
      <c r="GV444" s="26"/>
      <c r="GW444" s="26"/>
      <c r="GX444" s="26"/>
      <c r="GY444" s="26"/>
      <c r="GZ444" s="26"/>
      <c r="HA444" s="26"/>
      <c r="HB444" s="26"/>
      <c r="HC444" s="26"/>
      <c r="HD444" s="26"/>
      <c r="HE444" s="26"/>
      <c r="HF444" s="26"/>
      <c r="HG444" s="26"/>
      <c r="HH444" s="26"/>
    </row>
    <row r="445" s="26" customFormat="1">
      <c r="A445" s="28"/>
      <c r="B445" s="50"/>
      <c r="C445" s="28"/>
      <c r="D445" s="28"/>
      <c r="E445" s="13"/>
      <c r="F445" s="13" t="s">
        <v>34</v>
      </c>
      <c r="G445" s="23">
        <f t="shared" si="175"/>
        <v>6000</v>
      </c>
      <c r="H445" s="23">
        <f t="shared" si="176"/>
        <v>0</v>
      </c>
      <c r="I445" s="23">
        <f t="shared" si="177"/>
        <v>1000</v>
      </c>
      <c r="J445" s="23">
        <f t="shared" si="177"/>
        <v>0</v>
      </c>
      <c r="K445" s="23">
        <f t="shared" si="177"/>
        <v>5000</v>
      </c>
      <c r="L445" s="23">
        <f t="shared" si="177"/>
        <v>0</v>
      </c>
      <c r="M445" s="23">
        <f t="shared" si="177"/>
        <v>0</v>
      </c>
      <c r="N445" s="23">
        <f t="shared" si="177"/>
        <v>0</v>
      </c>
      <c r="O445" s="23">
        <f t="shared" si="177"/>
        <v>0</v>
      </c>
      <c r="P445" s="23">
        <f t="shared" si="177"/>
        <v>0</v>
      </c>
      <c r="Q445" s="52"/>
      <c r="R445" s="35"/>
      <c r="W445" s="32">
        <f t="shared" si="167"/>
        <v>1000</v>
      </c>
      <c r="GB445" s="26"/>
      <c r="GC445" s="26"/>
      <c r="GD445" s="26"/>
      <c r="GE445" s="26"/>
      <c r="GF445" s="26"/>
      <c r="GG445" s="26"/>
      <c r="GH445" s="26"/>
      <c r="GI445" s="26"/>
      <c r="GJ445" s="26"/>
      <c r="GK445" s="26"/>
      <c r="GL445" s="26"/>
      <c r="GM445" s="26"/>
      <c r="GN445" s="26"/>
      <c r="GO445" s="26"/>
      <c r="GP445" s="26"/>
      <c r="GQ445" s="26"/>
      <c r="GR445" s="26"/>
      <c r="GS445" s="26"/>
      <c r="GT445" s="26"/>
      <c r="GU445" s="26"/>
      <c r="GV445" s="26"/>
      <c r="GW445" s="26"/>
      <c r="GX445" s="26"/>
      <c r="GY445" s="26"/>
      <c r="GZ445" s="26"/>
      <c r="HA445" s="26"/>
      <c r="HB445" s="26"/>
      <c r="HC445" s="26"/>
      <c r="HD445" s="26"/>
      <c r="HE445" s="26"/>
      <c r="HF445" s="26"/>
      <c r="HG445" s="26"/>
      <c r="HH445" s="26"/>
    </row>
    <row r="446" s="26" customFormat="1">
      <c r="A446" s="41"/>
      <c r="B446" s="50"/>
      <c r="C446" s="41"/>
      <c r="D446" s="41"/>
      <c r="E446" s="13"/>
      <c r="F446" s="13" t="s">
        <v>35</v>
      </c>
      <c r="G446" s="23">
        <f t="shared" si="175"/>
        <v>6000</v>
      </c>
      <c r="H446" s="23">
        <f t="shared" si="176"/>
        <v>0</v>
      </c>
      <c r="I446" s="23">
        <f t="shared" si="177"/>
        <v>1000</v>
      </c>
      <c r="J446" s="23">
        <f t="shared" si="177"/>
        <v>0</v>
      </c>
      <c r="K446" s="23">
        <f t="shared" si="177"/>
        <v>5000</v>
      </c>
      <c r="L446" s="23">
        <f t="shared" si="177"/>
        <v>0</v>
      </c>
      <c r="M446" s="23">
        <f t="shared" si="177"/>
        <v>0</v>
      </c>
      <c r="N446" s="23">
        <f t="shared" si="177"/>
        <v>0</v>
      </c>
      <c r="O446" s="23">
        <f t="shared" si="177"/>
        <v>0</v>
      </c>
      <c r="P446" s="23">
        <f t="shared" si="177"/>
        <v>0</v>
      </c>
      <c r="Q446" s="52"/>
      <c r="R446" s="35"/>
      <c r="W446" s="32">
        <f t="shared" ref="W446:W470" si="179">I446-J446</f>
        <v>1000</v>
      </c>
      <c r="GB446" s="26"/>
      <c r="GC446" s="26"/>
      <c r="GD446" s="26"/>
      <c r="GE446" s="26"/>
      <c r="GF446" s="26"/>
      <c r="GG446" s="26"/>
      <c r="GH446" s="26"/>
      <c r="GI446" s="26"/>
      <c r="GJ446" s="26"/>
      <c r="GK446" s="26"/>
      <c r="GL446" s="26"/>
      <c r="GM446" s="26"/>
      <c r="GN446" s="26"/>
      <c r="GO446" s="26"/>
      <c r="GP446" s="26"/>
      <c r="GQ446" s="26"/>
      <c r="GR446" s="26"/>
      <c r="GS446" s="26"/>
      <c r="GT446" s="26"/>
      <c r="GU446" s="26"/>
      <c r="GV446" s="26"/>
      <c r="GW446" s="26"/>
      <c r="GX446" s="26"/>
      <c r="GY446" s="26"/>
      <c r="GZ446" s="26"/>
      <c r="HA446" s="26"/>
      <c r="HB446" s="26"/>
      <c r="HC446" s="26"/>
      <c r="HD446" s="26"/>
      <c r="HE446" s="26"/>
      <c r="HF446" s="26"/>
      <c r="HG446" s="26"/>
      <c r="HH446" s="26"/>
    </row>
    <row r="447" s="26" customFormat="1" ht="15.75" customHeight="1">
      <c r="A447" s="22"/>
      <c r="B447" s="73" t="s">
        <v>133</v>
      </c>
      <c r="C447" s="12"/>
      <c r="D447" s="12" t="s">
        <v>48</v>
      </c>
      <c r="E447" s="11" t="s">
        <v>134</v>
      </c>
      <c r="F447" s="11" t="s">
        <v>22</v>
      </c>
      <c r="G447" s="54">
        <f>SUM(G448:G458)</f>
        <v>40260</v>
      </c>
      <c r="H447" s="54">
        <f t="shared" ref="H447:P447" si="180">SUM(H448:H458)</f>
        <v>10000</v>
      </c>
      <c r="I447" s="54">
        <f t="shared" si="180"/>
        <v>5260</v>
      </c>
      <c r="J447" s="54">
        <f t="shared" si="180"/>
        <v>0</v>
      </c>
      <c r="K447" s="54">
        <f t="shared" si="180"/>
        <v>35000</v>
      </c>
      <c r="L447" s="54">
        <f t="shared" si="180"/>
        <v>10000</v>
      </c>
      <c r="M447" s="54">
        <f t="shared" si="180"/>
        <v>0</v>
      </c>
      <c r="N447" s="54">
        <f t="shared" si="180"/>
        <v>0</v>
      </c>
      <c r="O447" s="54">
        <f t="shared" si="180"/>
        <v>0</v>
      </c>
      <c r="P447" s="54">
        <f t="shared" si="180"/>
        <v>0</v>
      </c>
      <c r="Q447" s="99" t="s">
        <v>37</v>
      </c>
      <c r="R447" s="35"/>
      <c r="W447" s="32">
        <f t="shared" si="179"/>
        <v>5260</v>
      </c>
      <c r="GB447" s="26"/>
      <c r="GC447" s="26"/>
      <c r="GD447" s="26"/>
      <c r="GE447" s="26"/>
      <c r="GF447" s="26"/>
      <c r="GG447" s="26"/>
      <c r="GH447" s="26"/>
      <c r="GI447" s="26"/>
      <c r="GJ447" s="26"/>
      <c r="GK447" s="26"/>
      <c r="GL447" s="26"/>
      <c r="GM447" s="26"/>
      <c r="GN447" s="26"/>
      <c r="GO447" s="26"/>
      <c r="GP447" s="26"/>
      <c r="GQ447" s="26"/>
      <c r="GR447" s="26"/>
      <c r="GS447" s="26"/>
      <c r="GT447" s="26"/>
      <c r="GU447" s="26"/>
      <c r="GV447" s="26"/>
      <c r="GW447" s="26"/>
      <c r="GX447" s="26"/>
      <c r="GY447" s="26"/>
      <c r="GZ447" s="26"/>
      <c r="HA447" s="26"/>
      <c r="HB447" s="26"/>
      <c r="HC447" s="26"/>
      <c r="HD447" s="26"/>
      <c r="HE447" s="26"/>
      <c r="HF447" s="26"/>
      <c r="HG447" s="26"/>
      <c r="HH447" s="26"/>
    </row>
    <row r="448" s="8" customFormat="1" ht="15.6" hidden="1" customHeight="1">
      <c r="A448" s="28"/>
      <c r="B448" s="73"/>
      <c r="C448" s="14"/>
      <c r="D448" s="14"/>
      <c r="E448" s="11"/>
      <c r="F448" s="11" t="s">
        <v>24</v>
      </c>
      <c r="G448" s="54">
        <f t="shared" ref="G448:G458" si="181">I448+K448+M448+O448</f>
        <v>0</v>
      </c>
      <c r="H448" s="54">
        <f t="shared" ref="H448:H458" si="182">J448+L448+N448+P448</f>
        <v>0</v>
      </c>
      <c r="I448" s="54"/>
      <c r="J448" s="54"/>
      <c r="K448" s="54"/>
      <c r="L448" s="54"/>
      <c r="M448" s="54"/>
      <c r="N448" s="54"/>
      <c r="O448" s="54"/>
      <c r="P448" s="54"/>
      <c r="Q448" s="99"/>
      <c r="R448" s="81"/>
      <c r="W448" s="32">
        <f t="shared" si="179"/>
        <v>0</v>
      </c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  <c r="GS448" s="8"/>
      <c r="GT448" s="8"/>
      <c r="GU448" s="8"/>
      <c r="GV448" s="8"/>
      <c r="GW448" s="8"/>
      <c r="GX448" s="8"/>
      <c r="GY448" s="8"/>
      <c r="GZ448" s="8"/>
      <c r="HA448" s="8"/>
      <c r="HB448" s="8"/>
      <c r="HC448" s="8"/>
      <c r="HD448" s="8"/>
      <c r="HE448" s="8"/>
      <c r="HF448" s="8"/>
      <c r="HG448" s="8"/>
      <c r="HH448" s="8"/>
    </row>
    <row r="449" ht="15.6" hidden="1" customHeight="1">
      <c r="A449" s="28"/>
      <c r="B449" s="73"/>
      <c r="C449" s="14"/>
      <c r="D449" s="14"/>
      <c r="E449" s="11"/>
      <c r="F449" s="11" t="s">
        <v>26</v>
      </c>
      <c r="G449" s="54">
        <f t="shared" si="181"/>
        <v>0</v>
      </c>
      <c r="H449" s="54">
        <f t="shared" si="182"/>
        <v>0</v>
      </c>
      <c r="I449" s="54"/>
      <c r="J449" s="54"/>
      <c r="K449" s="54"/>
      <c r="L449" s="54"/>
      <c r="M449" s="54"/>
      <c r="N449" s="54"/>
      <c r="O449" s="54"/>
      <c r="P449" s="54"/>
      <c r="Q449" s="99"/>
      <c r="R449" s="35"/>
      <c r="W449" s="32">
        <f t="shared" si="179"/>
        <v>0</v>
      </c>
    </row>
    <row r="450" ht="15" hidden="1" customHeight="1">
      <c r="A450" s="28"/>
      <c r="B450" s="73"/>
      <c r="C450" s="16"/>
      <c r="D450" s="14"/>
      <c r="E450" s="11"/>
      <c r="F450" s="11" t="s">
        <v>27</v>
      </c>
      <c r="G450" s="54">
        <f t="shared" si="181"/>
        <v>0</v>
      </c>
      <c r="H450" s="54">
        <f t="shared" si="182"/>
        <v>0</v>
      </c>
      <c r="I450" s="54"/>
      <c r="J450" s="54"/>
      <c r="K450" s="54"/>
      <c r="L450" s="54"/>
      <c r="M450" s="54"/>
      <c r="N450" s="54"/>
      <c r="O450" s="54"/>
      <c r="P450" s="54"/>
      <c r="Q450" s="99"/>
      <c r="R450" s="35"/>
      <c r="W450" s="32">
        <f t="shared" si="179"/>
        <v>0</v>
      </c>
    </row>
    <row r="451" ht="15.6" hidden="1" customHeight="1">
      <c r="A451" s="28"/>
      <c r="B451" s="73"/>
      <c r="C451" s="11" t="s">
        <v>135</v>
      </c>
      <c r="D451" s="14"/>
      <c r="E451" s="11"/>
      <c r="F451" s="11" t="s">
        <v>28</v>
      </c>
      <c r="G451" s="54">
        <f t="shared" si="181"/>
        <v>0</v>
      </c>
      <c r="H451" s="54">
        <f t="shared" si="182"/>
        <v>0</v>
      </c>
      <c r="I451" s="54"/>
      <c r="J451" s="54"/>
      <c r="K451" s="54"/>
      <c r="L451" s="54"/>
      <c r="M451" s="54"/>
      <c r="N451" s="54"/>
      <c r="O451" s="54"/>
      <c r="P451" s="54"/>
      <c r="Q451" s="99"/>
      <c r="R451" s="35"/>
      <c r="W451" s="32">
        <f t="shared" si="179"/>
        <v>0</v>
      </c>
    </row>
    <row r="452" ht="15.75">
      <c r="A452" s="28"/>
      <c r="B452" s="73"/>
      <c r="C452" s="11"/>
      <c r="D452" s="14"/>
      <c r="E452" s="11"/>
      <c r="F452" s="11" t="s">
        <v>29</v>
      </c>
      <c r="G452" s="54">
        <f t="shared" si="181"/>
        <v>5000</v>
      </c>
      <c r="H452" s="54">
        <f t="shared" si="182"/>
        <v>5000</v>
      </c>
      <c r="I452" s="54">
        <v>0</v>
      </c>
      <c r="J452" s="54">
        <v>0</v>
      </c>
      <c r="K452" s="54">
        <v>5000</v>
      </c>
      <c r="L452" s="54">
        <f>K452</f>
        <v>5000</v>
      </c>
      <c r="M452" s="54">
        <v>0</v>
      </c>
      <c r="N452" s="54">
        <v>0</v>
      </c>
      <c r="O452" s="54">
        <v>0</v>
      </c>
      <c r="P452" s="54">
        <f>O452</f>
        <v>0</v>
      </c>
      <c r="Q452" s="99"/>
      <c r="R452" s="35"/>
      <c r="W452" s="32">
        <f t="shared" si="179"/>
        <v>0</v>
      </c>
    </row>
    <row r="453" ht="15.75">
      <c r="A453" s="28"/>
      <c r="B453" s="73"/>
      <c r="C453" s="11"/>
      <c r="D453" s="14"/>
      <c r="E453" s="11"/>
      <c r="F453" s="11" t="s">
        <v>30</v>
      </c>
      <c r="G453" s="54">
        <f t="shared" si="181"/>
        <v>5260</v>
      </c>
      <c r="H453" s="54">
        <f t="shared" si="182"/>
        <v>0</v>
      </c>
      <c r="I453" s="54">
        <v>260</v>
      </c>
      <c r="J453" s="54">
        <v>0</v>
      </c>
      <c r="K453" s="54">
        <v>5000</v>
      </c>
      <c r="L453" s="54">
        <v>0</v>
      </c>
      <c r="M453" s="54">
        <v>0</v>
      </c>
      <c r="N453" s="54">
        <v>0</v>
      </c>
      <c r="O453" s="54">
        <v>0</v>
      </c>
      <c r="P453" s="54">
        <v>0</v>
      </c>
      <c r="Q453" s="99"/>
      <c r="R453" s="35"/>
      <c r="W453" s="32">
        <f t="shared" si="179"/>
        <v>260</v>
      </c>
    </row>
    <row r="454" ht="15.75">
      <c r="A454" s="28"/>
      <c r="B454" s="73"/>
      <c r="C454" s="11"/>
      <c r="D454" s="14"/>
      <c r="E454" s="11"/>
      <c r="F454" s="11" t="s">
        <v>31</v>
      </c>
      <c r="G454" s="54">
        <f t="shared" si="181"/>
        <v>6000</v>
      </c>
      <c r="H454" s="54">
        <f t="shared" si="182"/>
        <v>5000</v>
      </c>
      <c r="I454" s="54">
        <v>1000</v>
      </c>
      <c r="J454" s="54">
        <v>0</v>
      </c>
      <c r="K454" s="54">
        <v>5000</v>
      </c>
      <c r="L454" s="54">
        <v>5000</v>
      </c>
      <c r="M454" s="54">
        <v>0</v>
      </c>
      <c r="N454" s="54">
        <v>0</v>
      </c>
      <c r="O454" s="54">
        <v>0</v>
      </c>
      <c r="P454" s="54">
        <v>0</v>
      </c>
      <c r="Q454" s="99"/>
      <c r="R454" s="35"/>
      <c r="W454" s="32">
        <f t="shared" si="179"/>
        <v>1000</v>
      </c>
    </row>
    <row r="455" ht="15.75">
      <c r="A455" s="28"/>
      <c r="B455" s="73"/>
      <c r="C455" s="11"/>
      <c r="D455" s="14"/>
      <c r="E455" s="11"/>
      <c r="F455" s="11" t="s">
        <v>32</v>
      </c>
      <c r="G455" s="54">
        <f t="shared" si="181"/>
        <v>6000</v>
      </c>
      <c r="H455" s="54">
        <f t="shared" si="182"/>
        <v>0</v>
      </c>
      <c r="I455" s="54">
        <v>1000</v>
      </c>
      <c r="J455" s="54">
        <v>0</v>
      </c>
      <c r="K455" s="54">
        <v>5000</v>
      </c>
      <c r="L455" s="54">
        <v>0</v>
      </c>
      <c r="M455" s="54">
        <v>0</v>
      </c>
      <c r="N455" s="54">
        <v>0</v>
      </c>
      <c r="O455" s="54">
        <v>0</v>
      </c>
      <c r="P455" s="54">
        <v>0</v>
      </c>
      <c r="Q455" s="99"/>
      <c r="R455" s="35"/>
      <c r="W455" s="32">
        <f t="shared" si="179"/>
        <v>1000</v>
      </c>
    </row>
    <row r="456" ht="15.75">
      <c r="A456" s="28"/>
      <c r="B456" s="73"/>
      <c r="C456" s="11"/>
      <c r="D456" s="14"/>
      <c r="E456" s="11"/>
      <c r="F456" s="11" t="s">
        <v>33</v>
      </c>
      <c r="G456" s="54">
        <f t="shared" si="181"/>
        <v>6000</v>
      </c>
      <c r="H456" s="54">
        <f t="shared" si="182"/>
        <v>0</v>
      </c>
      <c r="I456" s="54">
        <v>1000</v>
      </c>
      <c r="J456" s="54">
        <v>0</v>
      </c>
      <c r="K456" s="54">
        <v>5000</v>
      </c>
      <c r="L456" s="54">
        <v>0</v>
      </c>
      <c r="M456" s="54">
        <v>0</v>
      </c>
      <c r="N456" s="54">
        <v>0</v>
      </c>
      <c r="O456" s="54">
        <v>0</v>
      </c>
      <c r="P456" s="54">
        <v>0</v>
      </c>
      <c r="Q456" s="99"/>
      <c r="R456" s="35"/>
      <c r="W456" s="32">
        <f t="shared" si="179"/>
        <v>1000</v>
      </c>
    </row>
    <row r="457" ht="15.75">
      <c r="A457" s="28"/>
      <c r="B457" s="73"/>
      <c r="C457" s="11"/>
      <c r="D457" s="14"/>
      <c r="E457" s="11"/>
      <c r="F457" s="11" t="s">
        <v>34</v>
      </c>
      <c r="G457" s="54">
        <f t="shared" si="181"/>
        <v>6000</v>
      </c>
      <c r="H457" s="54">
        <f t="shared" si="182"/>
        <v>0</v>
      </c>
      <c r="I457" s="54">
        <v>1000</v>
      </c>
      <c r="J457" s="54">
        <v>0</v>
      </c>
      <c r="K457" s="54">
        <v>5000</v>
      </c>
      <c r="L457" s="54">
        <v>0</v>
      </c>
      <c r="M457" s="54">
        <v>0</v>
      </c>
      <c r="N457" s="54">
        <v>0</v>
      </c>
      <c r="O457" s="54">
        <v>0</v>
      </c>
      <c r="P457" s="54">
        <v>0</v>
      </c>
      <c r="Q457" s="99"/>
      <c r="R457" s="35"/>
      <c r="W457" s="32">
        <f t="shared" si="179"/>
        <v>1000</v>
      </c>
    </row>
    <row r="458" ht="31.149999999999999" customHeight="1">
      <c r="A458" s="41"/>
      <c r="B458" s="74"/>
      <c r="C458" s="11"/>
      <c r="D458" s="16"/>
      <c r="E458" s="11"/>
      <c r="F458" s="11" t="s">
        <v>35</v>
      </c>
      <c r="G458" s="54">
        <f t="shared" si="181"/>
        <v>6000</v>
      </c>
      <c r="H458" s="54">
        <f t="shared" si="182"/>
        <v>0</v>
      </c>
      <c r="I458" s="54">
        <v>1000</v>
      </c>
      <c r="J458" s="54">
        <v>0</v>
      </c>
      <c r="K458" s="54">
        <v>5000</v>
      </c>
      <c r="L458" s="54">
        <v>0</v>
      </c>
      <c r="M458" s="54">
        <v>0</v>
      </c>
      <c r="N458" s="54">
        <v>0</v>
      </c>
      <c r="O458" s="54">
        <v>0</v>
      </c>
      <c r="P458" s="54">
        <v>0</v>
      </c>
      <c r="Q458" s="99"/>
      <c r="R458" s="35"/>
      <c r="W458" s="32">
        <f t="shared" si="179"/>
        <v>1000</v>
      </c>
    </row>
    <row r="459" ht="15.75">
      <c r="A459" s="13"/>
      <c r="B459" s="50" t="s">
        <v>136</v>
      </c>
      <c r="C459" s="22"/>
      <c r="D459" s="22"/>
      <c r="E459" s="22"/>
      <c r="F459" s="13" t="s">
        <v>22</v>
      </c>
      <c r="G459" s="23">
        <f>SUM(G460:G470)</f>
        <v>6455335.2260000007</v>
      </c>
      <c r="H459" s="23">
        <f>SUM(H460:H470)-0.10000000000000001</f>
        <v>5407858.2260000007</v>
      </c>
      <c r="I459" s="23">
        <f t="shared" ref="I459:O459" si="183">SUM(I460:I470)</f>
        <v>4129520.8100000005</v>
      </c>
      <c r="J459" s="23">
        <f>SUM(J460:J470)-0.10000000000000001</f>
        <v>3666771.3300000001</v>
      </c>
      <c r="K459" s="23">
        <f t="shared" si="183"/>
        <v>46152.300000000003</v>
      </c>
      <c r="L459" s="23">
        <f t="shared" si="183"/>
        <v>11494.5</v>
      </c>
      <c r="M459" s="23">
        <f t="shared" si="183"/>
        <v>1426542.0959999999</v>
      </c>
      <c r="N459" s="23">
        <f>SUM(N460:N470)</f>
        <v>876472.37600000016</v>
      </c>
      <c r="O459" s="23">
        <f t="shared" si="183"/>
        <v>853120.02000000002</v>
      </c>
      <c r="P459" s="23">
        <f>SUM(P460:P470)</f>
        <v>853120.02000000002</v>
      </c>
      <c r="Q459" s="110"/>
      <c r="R459" s="35"/>
      <c r="W459" s="32">
        <f t="shared" si="179"/>
        <v>462749.48000000045</v>
      </c>
    </row>
    <row r="460" s="26" customFormat="1">
      <c r="A460" s="13"/>
      <c r="B460" s="50"/>
      <c r="C460" s="28"/>
      <c r="D460" s="28"/>
      <c r="E460" s="28"/>
      <c r="F460" s="13" t="s">
        <v>24</v>
      </c>
      <c r="G460" s="23">
        <f t="shared" ref="G460:H470" si="184">I460+K460+M460+O460</f>
        <v>423497.10000000003</v>
      </c>
      <c r="H460" s="23">
        <f>J460+L460+N460+P460</f>
        <v>369330.50000000006</v>
      </c>
      <c r="I460" s="23">
        <f t="shared" ref="I460:K462" si="185">I56+I118+I161+I249</f>
        <v>287073</v>
      </c>
      <c r="J460" s="23">
        <f t="shared" ref="J460:P460" si="186">J56+J118+J161+J249</f>
        <v>242825.40000000002</v>
      </c>
      <c r="K460" s="23">
        <f t="shared" si="186"/>
        <v>3225</v>
      </c>
      <c r="L460" s="23">
        <f t="shared" si="186"/>
        <v>0</v>
      </c>
      <c r="M460" s="23">
        <f t="shared" si="186"/>
        <v>69836.899999999994</v>
      </c>
      <c r="N460" s="23">
        <f t="shared" si="186"/>
        <v>63142.900000000001</v>
      </c>
      <c r="O460" s="23">
        <f t="shared" si="186"/>
        <v>63362.199999999997</v>
      </c>
      <c r="P460" s="23">
        <f t="shared" si="186"/>
        <v>63362.199999999997</v>
      </c>
      <c r="Q460" s="110"/>
      <c r="R460" s="35"/>
      <c r="S460" s="11"/>
      <c r="T460" s="11"/>
      <c r="W460" s="32">
        <f t="shared" si="179"/>
        <v>44247.599999999977</v>
      </c>
      <c r="GB460" s="26"/>
      <c r="GC460" s="26"/>
      <c r="GD460" s="26"/>
      <c r="GE460" s="26"/>
      <c r="GF460" s="26"/>
      <c r="GG460" s="26"/>
      <c r="GH460" s="26"/>
      <c r="GI460" s="26"/>
      <c r="GJ460" s="26"/>
      <c r="GK460" s="26"/>
      <c r="GL460" s="26"/>
      <c r="GM460" s="26"/>
      <c r="GN460" s="26"/>
      <c r="GO460" s="26"/>
      <c r="GP460" s="26"/>
      <c r="GQ460" s="26"/>
      <c r="GR460" s="26"/>
      <c r="GS460" s="26"/>
      <c r="GT460" s="26"/>
      <c r="GU460" s="26"/>
      <c r="GV460" s="26"/>
      <c r="GW460" s="26"/>
      <c r="GX460" s="26"/>
      <c r="GY460" s="26"/>
      <c r="GZ460" s="26"/>
      <c r="HA460" s="26"/>
      <c r="HB460" s="26"/>
      <c r="HC460" s="26"/>
      <c r="HD460" s="26"/>
      <c r="HE460" s="26"/>
      <c r="HF460" s="26"/>
      <c r="HG460" s="26"/>
      <c r="HH460" s="26"/>
    </row>
    <row r="461" s="26" customFormat="1">
      <c r="A461" s="13"/>
      <c r="B461" s="50"/>
      <c r="C461" s="28"/>
      <c r="D461" s="28"/>
      <c r="E461" s="28"/>
      <c r="F461" s="13" t="s">
        <v>26</v>
      </c>
      <c r="G461" s="23">
        <f t="shared" si="184"/>
        <v>415534.89000000001</v>
      </c>
      <c r="H461" s="23">
        <f t="shared" si="184"/>
        <v>393154.04000000004</v>
      </c>
      <c r="I461" s="23">
        <f t="shared" si="185"/>
        <v>268270.98999999999</v>
      </c>
      <c r="J461" s="23">
        <f t="shared" si="185"/>
        <v>255911.14000000001</v>
      </c>
      <c r="K461" s="23">
        <f t="shared" si="185"/>
        <v>3297.5</v>
      </c>
      <c r="L461" s="23">
        <v>0</v>
      </c>
      <c r="M461" s="23">
        <f t="shared" ref="M461:P462" si="187">M57+M119+M162+M250</f>
        <v>68949.300000000003</v>
      </c>
      <c r="N461" s="23">
        <f t="shared" si="187"/>
        <v>62225.800000000003</v>
      </c>
      <c r="O461" s="23">
        <f t="shared" si="187"/>
        <v>75017.100000000006</v>
      </c>
      <c r="P461" s="23">
        <f t="shared" si="187"/>
        <v>75017.100000000006</v>
      </c>
      <c r="Q461" s="110"/>
      <c r="R461" s="35"/>
      <c r="S461" s="11"/>
      <c r="T461" s="11"/>
      <c r="W461" s="32">
        <f t="shared" si="179"/>
        <v>12359.849999999977</v>
      </c>
      <c r="GB461" s="26"/>
      <c r="GC461" s="26"/>
      <c r="GD461" s="26"/>
      <c r="GE461" s="26"/>
      <c r="GF461" s="26"/>
      <c r="GG461" s="26"/>
      <c r="GH461" s="26"/>
      <c r="GI461" s="26"/>
      <c r="GJ461" s="26"/>
      <c r="GK461" s="26"/>
      <c r="GL461" s="26"/>
      <c r="GM461" s="26"/>
      <c r="GN461" s="26"/>
      <c r="GO461" s="26"/>
      <c r="GP461" s="26"/>
      <c r="GQ461" s="26"/>
      <c r="GR461" s="26"/>
      <c r="GS461" s="26"/>
      <c r="GT461" s="26"/>
      <c r="GU461" s="26"/>
      <c r="GV461" s="26"/>
      <c r="GW461" s="26"/>
      <c r="GX461" s="26"/>
      <c r="GY461" s="26"/>
      <c r="GZ461" s="26"/>
      <c r="HA461" s="26"/>
      <c r="HB461" s="26"/>
      <c r="HC461" s="26"/>
      <c r="HD461" s="26"/>
      <c r="HE461" s="26"/>
      <c r="HF461" s="26"/>
      <c r="HG461" s="26"/>
      <c r="HH461" s="26"/>
    </row>
    <row r="462" s="26" customFormat="1">
      <c r="A462" s="13"/>
      <c r="B462" s="50"/>
      <c r="C462" s="28"/>
      <c r="D462" s="28"/>
      <c r="E462" s="28"/>
      <c r="F462" s="13" t="s">
        <v>27</v>
      </c>
      <c r="G462" s="23">
        <f t="shared" si="184"/>
        <v>476059.0959999999</v>
      </c>
      <c r="H462" s="23">
        <f t="shared" si="184"/>
        <v>458652.696</v>
      </c>
      <c r="I462" s="23">
        <f t="shared" si="185"/>
        <v>277844.09999999998</v>
      </c>
      <c r="J462" s="23">
        <f t="shared" si="185"/>
        <v>267597.40000000002</v>
      </c>
      <c r="K462" s="23">
        <f t="shared" si="185"/>
        <v>3135.3000000000002</v>
      </c>
      <c r="L462" s="23">
        <f>L58+L120+L163+L251</f>
        <v>0</v>
      </c>
      <c r="M462" s="23">
        <f t="shared" si="187"/>
        <v>112958.09599999999</v>
      </c>
      <c r="N462" s="23">
        <f t="shared" si="187"/>
        <v>108933.69599999998</v>
      </c>
      <c r="O462" s="23">
        <f t="shared" si="187"/>
        <v>82121.600000000006</v>
      </c>
      <c r="P462" s="23">
        <f t="shared" si="187"/>
        <v>82121.600000000006</v>
      </c>
      <c r="Q462" s="110"/>
      <c r="R462" s="35"/>
      <c r="S462" s="11"/>
      <c r="T462" s="11"/>
      <c r="W462" s="32">
        <f t="shared" si="179"/>
        <v>10246.699999999953</v>
      </c>
      <c r="GB462" s="26"/>
      <c r="GC462" s="26"/>
      <c r="GD462" s="26"/>
      <c r="GE462" s="26"/>
      <c r="GF462" s="26"/>
      <c r="GG462" s="26"/>
      <c r="GH462" s="26"/>
      <c r="GI462" s="26"/>
      <c r="GJ462" s="26"/>
      <c r="GK462" s="26"/>
      <c r="GL462" s="26"/>
      <c r="GM462" s="26"/>
      <c r="GN462" s="26"/>
      <c r="GO462" s="26"/>
      <c r="GP462" s="26"/>
      <c r="GQ462" s="26"/>
      <c r="GR462" s="26"/>
      <c r="GS462" s="26"/>
      <c r="GT462" s="26"/>
      <c r="GU462" s="26"/>
      <c r="GV462" s="26"/>
      <c r="GW462" s="26"/>
      <c r="GX462" s="26"/>
      <c r="GY462" s="26"/>
      <c r="GZ462" s="26"/>
      <c r="HA462" s="26"/>
      <c r="HB462" s="26"/>
      <c r="HC462" s="26"/>
      <c r="HD462" s="26"/>
      <c r="HE462" s="26"/>
      <c r="HF462" s="26"/>
      <c r="HG462" s="26"/>
      <c r="HH462" s="26"/>
    </row>
    <row r="463" s="26" customFormat="1">
      <c r="A463" s="13"/>
      <c r="B463" s="50"/>
      <c r="C463" s="28"/>
      <c r="D463" s="28"/>
      <c r="E463" s="28"/>
      <c r="F463" s="13" t="s">
        <v>28</v>
      </c>
      <c r="G463" s="23">
        <f t="shared" si="184"/>
        <v>533092.20000000007</v>
      </c>
      <c r="H463" s="23">
        <f t="shared" si="184"/>
        <v>517689.5</v>
      </c>
      <c r="I463" s="23">
        <f t="shared" ref="I463:P463" si="188">I59+I121+I164+I252+I404</f>
        <v>301455.40000000002</v>
      </c>
      <c r="J463" s="23">
        <f t="shared" si="188"/>
        <v>286052.70000000001</v>
      </c>
      <c r="K463" s="23">
        <f t="shared" si="188"/>
        <v>645.60000000000002</v>
      </c>
      <c r="L463" s="23">
        <f t="shared" si="188"/>
        <v>645.60000000000002</v>
      </c>
      <c r="M463" s="23">
        <f t="shared" si="188"/>
        <v>145737.90000000002</v>
      </c>
      <c r="N463" s="23">
        <f t="shared" si="188"/>
        <v>145737.90000000002</v>
      </c>
      <c r="O463" s="23">
        <f t="shared" si="188"/>
        <v>85253.300000000003</v>
      </c>
      <c r="P463" s="23">
        <f t="shared" si="188"/>
        <v>85253.300000000003</v>
      </c>
      <c r="Q463" s="110"/>
      <c r="R463" s="35"/>
      <c r="S463" s="111"/>
      <c r="T463" s="111"/>
      <c r="W463" s="32">
        <f t="shared" si="179"/>
        <v>15402.700000000012</v>
      </c>
      <c r="GB463" s="26"/>
      <c r="GC463" s="26"/>
      <c r="GD463" s="26"/>
      <c r="GE463" s="26"/>
      <c r="GF463" s="26"/>
      <c r="GG463" s="26"/>
      <c r="GH463" s="26"/>
      <c r="GI463" s="26"/>
      <c r="GJ463" s="26"/>
      <c r="GK463" s="26"/>
      <c r="GL463" s="26"/>
      <c r="GM463" s="26"/>
      <c r="GN463" s="26"/>
      <c r="GO463" s="26"/>
      <c r="GP463" s="26"/>
      <c r="GQ463" s="26"/>
      <c r="GR463" s="26"/>
      <c r="GS463" s="26"/>
      <c r="GT463" s="26"/>
      <c r="GU463" s="26"/>
      <c r="GV463" s="26"/>
      <c r="GW463" s="26"/>
      <c r="GX463" s="26"/>
      <c r="GY463" s="26"/>
      <c r="GZ463" s="26"/>
      <c r="HA463" s="26"/>
      <c r="HB463" s="26"/>
      <c r="HC463" s="26"/>
      <c r="HD463" s="26"/>
      <c r="HE463" s="26"/>
      <c r="HF463" s="26"/>
      <c r="HG463" s="26"/>
      <c r="HH463" s="26"/>
    </row>
    <row r="464" s="26" customFormat="1">
      <c r="A464" s="13"/>
      <c r="B464" s="50"/>
      <c r="C464" s="28"/>
      <c r="D464" s="28"/>
      <c r="E464" s="28"/>
      <c r="F464" s="13" t="s">
        <v>29</v>
      </c>
      <c r="G464" s="23">
        <f t="shared" si="184"/>
        <v>548956</v>
      </c>
      <c r="H464" s="23">
        <f>J464+L464+N464+P464</f>
        <v>535926.39999999991</v>
      </c>
      <c r="I464" s="23">
        <f t="shared" ref="I464:P470" si="189">I60+I122+I165+I253+I405+I440</f>
        <v>308889.29999999999</v>
      </c>
      <c r="J464" s="23">
        <f t="shared" ref="J464:P464" si="190">J60+J122+J165+J253+J405+J440</f>
        <v>300567.59999999998</v>
      </c>
      <c r="K464" s="23">
        <f t="shared" si="190"/>
        <v>5000</v>
      </c>
      <c r="L464" s="23">
        <f>L60+L122+L165+L253+L405+L440</f>
        <v>5000</v>
      </c>
      <c r="M464" s="23">
        <f t="shared" si="190"/>
        <v>147145.70000000001</v>
      </c>
      <c r="N464" s="23">
        <f t="shared" si="190"/>
        <v>142437.79999999999</v>
      </c>
      <c r="O464" s="23">
        <f t="shared" si="190"/>
        <v>87921</v>
      </c>
      <c r="P464" s="23">
        <f t="shared" si="190"/>
        <v>87921</v>
      </c>
      <c r="Q464" s="110"/>
      <c r="R464" s="35"/>
      <c r="S464" s="112"/>
      <c r="T464" s="111"/>
      <c r="W464" s="32">
        <f t="shared" si="179"/>
        <v>8321.7000000000116</v>
      </c>
      <c r="Y464" s="113"/>
      <c r="Z464" s="113"/>
      <c r="AA464" s="112"/>
      <c r="GB464" s="26"/>
      <c r="GC464" s="26"/>
      <c r="GD464" s="26"/>
      <c r="GE464" s="26"/>
      <c r="GF464" s="26"/>
      <c r="GG464" s="26"/>
      <c r="GH464" s="26"/>
      <c r="GI464" s="26"/>
      <c r="GJ464" s="26"/>
      <c r="GK464" s="26"/>
      <c r="GL464" s="26"/>
      <c r="GM464" s="26"/>
      <c r="GN464" s="26"/>
      <c r="GO464" s="26"/>
      <c r="GP464" s="26"/>
      <c r="GQ464" s="26"/>
      <c r="GR464" s="26"/>
      <c r="GS464" s="26"/>
      <c r="GT464" s="26"/>
      <c r="GU464" s="26"/>
      <c r="GV464" s="26"/>
      <c r="GW464" s="26"/>
      <c r="GX464" s="26"/>
      <c r="GY464" s="26"/>
      <c r="GZ464" s="26"/>
      <c r="HA464" s="26"/>
      <c r="HB464" s="26"/>
      <c r="HC464" s="26"/>
      <c r="HD464" s="26"/>
      <c r="HE464" s="26"/>
      <c r="HF464" s="26"/>
      <c r="HG464" s="26"/>
      <c r="HH464" s="26"/>
    </row>
    <row r="465" s="26" customFormat="1">
      <c r="A465" s="13"/>
      <c r="B465" s="50"/>
      <c r="C465" s="28"/>
      <c r="D465" s="28"/>
      <c r="E465" s="28"/>
      <c r="F465" s="13" t="s">
        <v>30</v>
      </c>
      <c r="G465" s="23">
        <f t="shared" si="184"/>
        <v>590023.18000000005</v>
      </c>
      <c r="H465" s="23">
        <f t="shared" si="184"/>
        <v>506158.92000000004</v>
      </c>
      <c r="I465" s="23">
        <f t="shared" si="189"/>
        <v>375056.28000000003</v>
      </c>
      <c r="J465" s="23">
        <f t="shared" si="189"/>
        <v>342346.82000000001</v>
      </c>
      <c r="K465" s="23">
        <f t="shared" si="189"/>
        <v>5000</v>
      </c>
      <c r="L465" s="23">
        <f t="shared" si="189"/>
        <v>0</v>
      </c>
      <c r="M465" s="23">
        <f t="shared" si="189"/>
        <v>146592.5</v>
      </c>
      <c r="N465" s="23">
        <f t="shared" si="189"/>
        <v>100437.70000000001</v>
      </c>
      <c r="O465" s="23">
        <f t="shared" si="189"/>
        <v>63374.399999999994</v>
      </c>
      <c r="P465" s="23">
        <f t="shared" si="189"/>
        <v>63374.399999999994</v>
      </c>
      <c r="Q465" s="110"/>
      <c r="R465" s="35"/>
      <c r="S465" s="112"/>
      <c r="T465" s="13"/>
      <c r="W465" s="32">
        <f t="shared" si="179"/>
        <v>32709.460000000021</v>
      </c>
      <c r="Y465" s="113"/>
      <c r="Z465" s="113"/>
      <c r="AA465" s="112"/>
      <c r="GB465" s="26"/>
      <c r="GC465" s="26"/>
      <c r="GD465" s="26"/>
      <c r="GE465" s="26"/>
      <c r="GF465" s="26"/>
      <c r="GG465" s="26"/>
      <c r="GH465" s="26"/>
      <c r="GI465" s="26"/>
      <c r="GJ465" s="26"/>
      <c r="GK465" s="26"/>
      <c r="GL465" s="26"/>
      <c r="GM465" s="26"/>
      <c r="GN465" s="26"/>
      <c r="GO465" s="26"/>
      <c r="GP465" s="26"/>
      <c r="GQ465" s="26"/>
      <c r="GR465" s="26"/>
      <c r="GS465" s="26"/>
      <c r="GT465" s="26"/>
      <c r="GU465" s="26"/>
      <c r="GV465" s="26"/>
      <c r="GW465" s="26"/>
      <c r="GX465" s="26"/>
      <c r="GY465" s="26"/>
      <c r="GZ465" s="26"/>
      <c r="HA465" s="26"/>
      <c r="HB465" s="26"/>
      <c r="HC465" s="26"/>
      <c r="HD465" s="26"/>
      <c r="HE465" s="26"/>
      <c r="HF465" s="26"/>
      <c r="HG465" s="26"/>
      <c r="HH465" s="26"/>
    </row>
    <row r="466" s="26" customFormat="1">
      <c r="A466" s="13"/>
      <c r="B466" s="50"/>
      <c r="C466" s="28"/>
      <c r="D466" s="28"/>
      <c r="E466" s="28"/>
      <c r="F466" s="13" t="s">
        <v>31</v>
      </c>
      <c r="G466" s="23">
        <f t="shared" si="184"/>
        <v>633548.19999999995</v>
      </c>
      <c r="H466" s="23">
        <f t="shared" si="184"/>
        <v>568527.90000000002</v>
      </c>
      <c r="I466" s="23">
        <f t="shared" si="189"/>
        <v>398073.5</v>
      </c>
      <c r="J466" s="23">
        <f t="shared" si="189"/>
        <v>365252.20000000001</v>
      </c>
      <c r="K466" s="23">
        <f t="shared" si="189"/>
        <v>5416</v>
      </c>
      <c r="L466" s="23">
        <f t="shared" si="189"/>
        <v>5416</v>
      </c>
      <c r="M466" s="23">
        <f t="shared" si="189"/>
        <v>146665.70000000001</v>
      </c>
      <c r="N466" s="23">
        <f t="shared" si="189"/>
        <v>114466.7</v>
      </c>
      <c r="O466" s="23">
        <f t="shared" si="189"/>
        <v>83393</v>
      </c>
      <c r="P466" s="23">
        <f t="shared" si="189"/>
        <v>83393</v>
      </c>
      <c r="Q466" s="110"/>
      <c r="R466" s="35"/>
      <c r="S466" s="112"/>
      <c r="T466" s="13"/>
      <c r="W466" s="32">
        <f t="shared" si="179"/>
        <v>32821.299999999988</v>
      </c>
      <c r="Y466" s="113"/>
      <c r="Z466" s="113"/>
      <c r="AA466" s="112"/>
      <c r="GB466" s="26"/>
      <c r="GC466" s="26"/>
      <c r="GD466" s="26"/>
      <c r="GE466" s="26"/>
      <c r="GF466" s="26"/>
      <c r="GG466" s="26"/>
      <c r="GH466" s="26"/>
      <c r="GI466" s="26"/>
      <c r="GJ466" s="26"/>
      <c r="GK466" s="26"/>
      <c r="GL466" s="26"/>
      <c r="GM466" s="26"/>
      <c r="GN466" s="26"/>
      <c r="GO466" s="26"/>
      <c r="GP466" s="26"/>
      <c r="GQ466" s="26"/>
      <c r="GR466" s="26"/>
      <c r="GS466" s="26"/>
      <c r="GT466" s="26"/>
      <c r="GU466" s="26"/>
      <c r="GV466" s="26"/>
      <c r="GW466" s="26"/>
      <c r="GX466" s="26"/>
      <c r="GY466" s="26"/>
      <c r="GZ466" s="26"/>
      <c r="HA466" s="26"/>
      <c r="HB466" s="26"/>
      <c r="HC466" s="26"/>
      <c r="HD466" s="26"/>
      <c r="HE466" s="26"/>
      <c r="HF466" s="26"/>
      <c r="HG466" s="26"/>
      <c r="HH466" s="26"/>
    </row>
    <row r="467" s="26" customFormat="1">
      <c r="A467" s="13"/>
      <c r="B467" s="50"/>
      <c r="C467" s="28"/>
      <c r="D467" s="28"/>
      <c r="E467" s="28"/>
      <c r="F467" s="13" t="s">
        <v>32</v>
      </c>
      <c r="G467" s="23">
        <f t="shared" si="184"/>
        <v>685795.34000000008</v>
      </c>
      <c r="H467" s="23">
        <f t="shared" si="184"/>
        <v>628094.87000000011</v>
      </c>
      <c r="I467" s="23">
        <f t="shared" si="189"/>
        <v>445300.24000000005</v>
      </c>
      <c r="J467" s="23">
        <f t="shared" si="189"/>
        <v>415799.69000000006</v>
      </c>
      <c r="K467" s="23">
        <f t="shared" si="189"/>
        <v>5432.8999999999996</v>
      </c>
      <c r="L467" s="23">
        <f t="shared" si="189"/>
        <v>432.89999999999998</v>
      </c>
      <c r="M467" s="23">
        <f t="shared" si="189"/>
        <v>147164</v>
      </c>
      <c r="N467" s="23">
        <f t="shared" si="189"/>
        <v>123964.08000000002</v>
      </c>
      <c r="O467" s="23">
        <f t="shared" si="189"/>
        <v>87898.199999999983</v>
      </c>
      <c r="P467" s="23">
        <f t="shared" si="189"/>
        <v>87898.199999999983</v>
      </c>
      <c r="Q467" s="110"/>
      <c r="R467" s="35"/>
      <c r="S467" s="112"/>
      <c r="T467" s="13"/>
      <c r="W467" s="32">
        <f t="shared" si="179"/>
        <v>29500.549999999988</v>
      </c>
      <c r="Y467" s="113"/>
      <c r="Z467" s="113"/>
      <c r="AA467" s="112"/>
      <c r="GB467" s="26"/>
      <c r="GC467" s="26"/>
      <c r="GD467" s="26"/>
      <c r="GE467" s="26"/>
      <c r="GF467" s="26"/>
      <c r="GG467" s="26"/>
      <c r="GH467" s="26"/>
      <c r="GI467" s="26"/>
      <c r="GJ467" s="26"/>
      <c r="GK467" s="26"/>
      <c r="GL467" s="26"/>
      <c r="GM467" s="26"/>
      <c r="GN467" s="26"/>
      <c r="GO467" s="26"/>
      <c r="GP467" s="26"/>
      <c r="GQ467" s="26"/>
      <c r="GR467" s="26"/>
      <c r="GS467" s="26"/>
      <c r="GT467" s="26"/>
      <c r="GU467" s="26"/>
      <c r="GV467" s="26"/>
      <c r="GW467" s="26"/>
      <c r="GX467" s="26"/>
      <c r="GY467" s="26"/>
      <c r="GZ467" s="26"/>
      <c r="HA467" s="26"/>
      <c r="HB467" s="26"/>
      <c r="HC467" s="26"/>
      <c r="HD467" s="26"/>
      <c r="HE467" s="26"/>
      <c r="HF467" s="26"/>
      <c r="HG467" s="26"/>
      <c r="HH467" s="26"/>
    </row>
    <row r="468" s="26" customFormat="1">
      <c r="A468" s="13"/>
      <c r="B468" s="50"/>
      <c r="C468" s="28"/>
      <c r="D468" s="28"/>
      <c r="E468" s="28"/>
      <c r="F468" s="13" t="s">
        <v>33</v>
      </c>
      <c r="G468" s="23">
        <f t="shared" si="184"/>
        <v>717345.42000000004</v>
      </c>
      <c r="H468" s="23">
        <f t="shared" si="184"/>
        <v>479759.00000000006</v>
      </c>
      <c r="I468" s="23">
        <f t="shared" si="189"/>
        <v>489186</v>
      </c>
      <c r="J468" s="23">
        <f t="shared" si="189"/>
        <v>396200.68000000005</v>
      </c>
      <c r="K468" s="23">
        <f t="shared" si="189"/>
        <v>5000</v>
      </c>
      <c r="L468" s="23">
        <f t="shared" si="189"/>
        <v>0</v>
      </c>
      <c r="M468" s="23">
        <f t="shared" si="189"/>
        <v>147164</v>
      </c>
      <c r="N468" s="23">
        <f t="shared" si="189"/>
        <v>7562.8999999999996</v>
      </c>
      <c r="O468" s="23">
        <f t="shared" si="189"/>
        <v>75995.419999999998</v>
      </c>
      <c r="P468" s="23">
        <f t="shared" si="189"/>
        <v>75995.419999999998</v>
      </c>
      <c r="Q468" s="110"/>
      <c r="R468" s="35"/>
      <c r="S468" s="112"/>
      <c r="T468" s="13"/>
      <c r="W468" s="32">
        <f t="shared" si="179"/>
        <v>92985.319999999949</v>
      </c>
      <c r="Y468" s="111"/>
      <c r="Z468" s="113"/>
      <c r="AA468" s="112"/>
      <c r="GB468" s="26"/>
      <c r="GC468" s="26"/>
      <c r="GD468" s="26"/>
      <c r="GE468" s="26"/>
      <c r="GF468" s="26"/>
      <c r="GG468" s="26"/>
      <c r="GH468" s="26"/>
      <c r="GI468" s="26"/>
      <c r="GJ468" s="26"/>
      <c r="GK468" s="26"/>
      <c r="GL468" s="26"/>
      <c r="GM468" s="26"/>
      <c r="GN468" s="26"/>
      <c r="GO468" s="26"/>
      <c r="GP468" s="26"/>
      <c r="GQ468" s="26"/>
      <c r="GR468" s="26"/>
      <c r="GS468" s="26"/>
      <c r="GT468" s="26"/>
      <c r="GU468" s="26"/>
      <c r="GV468" s="26"/>
      <c r="GW468" s="26"/>
      <c r="GX468" s="26"/>
      <c r="GY468" s="26"/>
      <c r="GZ468" s="26"/>
      <c r="HA468" s="26"/>
      <c r="HB468" s="26"/>
      <c r="HC468" s="26"/>
      <c r="HD468" s="26"/>
      <c r="HE468" s="26"/>
      <c r="HF468" s="26"/>
      <c r="HG468" s="26"/>
      <c r="HH468" s="26"/>
    </row>
    <row r="469" s="26" customFormat="1">
      <c r="A469" s="13"/>
      <c r="B469" s="50"/>
      <c r="C469" s="28"/>
      <c r="D469" s="28"/>
      <c r="E469" s="28"/>
      <c r="F469" s="13" t="s">
        <v>34</v>
      </c>
      <c r="G469" s="23">
        <f t="shared" si="184"/>
        <v>715741.90000000002</v>
      </c>
      <c r="H469" s="23">
        <f t="shared" si="184"/>
        <v>479348.70000000007</v>
      </c>
      <c r="I469" s="23">
        <f t="shared" si="189"/>
        <v>489186</v>
      </c>
      <c r="J469" s="23">
        <f t="shared" si="189"/>
        <v>397393.90000000002</v>
      </c>
      <c r="K469" s="23">
        <f t="shared" si="189"/>
        <v>5000</v>
      </c>
      <c r="L469" s="23">
        <f t="shared" si="189"/>
        <v>0</v>
      </c>
      <c r="M469" s="23">
        <f t="shared" si="189"/>
        <v>147164</v>
      </c>
      <c r="N469" s="23">
        <f t="shared" si="189"/>
        <v>7562.8999999999996</v>
      </c>
      <c r="O469" s="23">
        <f t="shared" si="189"/>
        <v>74391.900000000009</v>
      </c>
      <c r="P469" s="23">
        <f t="shared" si="189"/>
        <v>74391.900000000009</v>
      </c>
      <c r="Q469" s="110"/>
      <c r="R469" s="35"/>
      <c r="S469" s="112"/>
      <c r="T469" s="13"/>
      <c r="W469" s="32">
        <f t="shared" si="179"/>
        <v>91792.099999999977</v>
      </c>
      <c r="Y469" s="111"/>
      <c r="Z469" s="113"/>
      <c r="AA469" s="112"/>
      <c r="GB469" s="26"/>
      <c r="GC469" s="26"/>
      <c r="GD469" s="26"/>
      <c r="GE469" s="26"/>
      <c r="GF469" s="26"/>
      <c r="GG469" s="26"/>
      <c r="GH469" s="26"/>
      <c r="GI469" s="26"/>
      <c r="GJ469" s="26"/>
      <c r="GK469" s="26"/>
      <c r="GL469" s="26"/>
      <c r="GM469" s="26"/>
      <c r="GN469" s="26"/>
      <c r="GO469" s="26"/>
      <c r="GP469" s="26"/>
      <c r="GQ469" s="26"/>
      <c r="GR469" s="26"/>
      <c r="GS469" s="26"/>
      <c r="GT469" s="26"/>
      <c r="GU469" s="26"/>
      <c r="GV469" s="26"/>
      <c r="GW469" s="26"/>
      <c r="GX469" s="26"/>
      <c r="GY469" s="26"/>
      <c r="GZ469" s="26"/>
      <c r="HA469" s="26"/>
      <c r="HB469" s="26"/>
      <c r="HC469" s="26"/>
      <c r="HD469" s="26"/>
      <c r="HE469" s="26"/>
      <c r="HF469" s="26"/>
      <c r="HG469" s="26"/>
      <c r="HH469" s="26"/>
    </row>
    <row r="470" s="26" customFormat="1">
      <c r="A470" s="13"/>
      <c r="B470" s="50"/>
      <c r="C470" s="41"/>
      <c r="D470" s="41"/>
      <c r="E470" s="41"/>
      <c r="F470" s="13" t="s">
        <v>35</v>
      </c>
      <c r="G470" s="23">
        <f t="shared" si="184"/>
        <v>715741.90000000002</v>
      </c>
      <c r="H470" s="23">
        <f t="shared" si="184"/>
        <v>471215.80000000005</v>
      </c>
      <c r="I470" s="23">
        <f t="shared" si="189"/>
        <v>489186</v>
      </c>
      <c r="J470" s="23">
        <f t="shared" si="189"/>
        <v>396823.90000000002</v>
      </c>
      <c r="K470" s="23">
        <f t="shared" si="189"/>
        <v>5000</v>
      </c>
      <c r="L470" s="23">
        <f t="shared" si="189"/>
        <v>0</v>
      </c>
      <c r="M470" s="23">
        <f t="shared" si="189"/>
        <v>147164</v>
      </c>
      <c r="N470" s="23">
        <f t="shared" si="189"/>
        <v>0</v>
      </c>
      <c r="O470" s="23">
        <f t="shared" si="189"/>
        <v>74391.900000000009</v>
      </c>
      <c r="P470" s="23">
        <f t="shared" si="189"/>
        <v>74391.900000000009</v>
      </c>
      <c r="Q470" s="114"/>
      <c r="R470" s="35"/>
      <c r="S470" s="112"/>
      <c r="T470" s="13"/>
      <c r="W470" s="32">
        <f t="shared" si="179"/>
        <v>92362.099999999977</v>
      </c>
      <c r="Y470" s="111"/>
      <c r="Z470" s="113"/>
      <c r="AA470" s="112"/>
      <c r="GB470" s="26"/>
      <c r="GC470" s="26"/>
      <c r="GD470" s="26"/>
      <c r="GE470" s="26"/>
      <c r="GF470" s="26"/>
      <c r="GG470" s="26"/>
      <c r="GH470" s="26"/>
      <c r="GI470" s="26"/>
      <c r="GJ470" s="26"/>
      <c r="GK470" s="26"/>
      <c r="GL470" s="26"/>
      <c r="GM470" s="26"/>
      <c r="GN470" s="26"/>
      <c r="GO470" s="26"/>
      <c r="GP470" s="26"/>
      <c r="GQ470" s="26"/>
      <c r="GR470" s="26"/>
      <c r="GS470" s="26"/>
      <c r="GT470" s="26"/>
      <c r="GU470" s="26"/>
      <c r="GV470" s="26"/>
      <c r="GW470" s="26"/>
      <c r="GX470" s="26"/>
      <c r="GY470" s="26"/>
      <c r="GZ470" s="26"/>
      <c r="HA470" s="26"/>
      <c r="HB470" s="26"/>
      <c r="HC470" s="26"/>
      <c r="HD470" s="26"/>
      <c r="HE470" s="26"/>
      <c r="HF470" s="26"/>
      <c r="HG470" s="26"/>
      <c r="HH470" s="26"/>
    </row>
    <row r="471" ht="15.75">
      <c r="E471" s="3"/>
    </row>
    <row r="472" ht="15.75" hidden="1">
      <c r="E472" s="3"/>
    </row>
    <row r="473" ht="15.75" hidden="1">
      <c r="E473" s="3"/>
      <c r="G473" s="115" t="s">
        <v>137</v>
      </c>
      <c r="H473" s="49">
        <v>2021</v>
      </c>
      <c r="I473" s="19"/>
      <c r="J473" s="54">
        <f>141964+187.69999999999999+197549.5+J483</f>
        <v>350477.90000000002</v>
      </c>
    </row>
    <row r="474" ht="15.75" hidden="1">
      <c r="E474" s="3"/>
      <c r="G474" s="116"/>
      <c r="H474" s="49">
        <v>2022</v>
      </c>
      <c r="I474" s="19"/>
      <c r="J474" s="54">
        <f t="shared" ref="J474:J475" si="191">141964+187.69999999999999+J484+194549.5</f>
        <v>346122.09999999998</v>
      </c>
    </row>
    <row r="475" ht="15.75" hidden="1">
      <c r="G475" s="117"/>
      <c r="H475" s="49">
        <v>2023</v>
      </c>
      <c r="I475" s="19"/>
      <c r="J475" s="54">
        <f t="shared" si="191"/>
        <v>343733.20000000001</v>
      </c>
    </row>
    <row r="476" ht="15.75" hidden="1">
      <c r="G476" s="115" t="s">
        <v>138</v>
      </c>
      <c r="H476" s="49">
        <v>2021</v>
      </c>
      <c r="I476" s="19"/>
      <c r="J476" s="54">
        <f t="shared" ref="J476:J478" si="192">J466</f>
        <v>365252.20000000001</v>
      </c>
    </row>
    <row r="477" ht="15.75" hidden="1">
      <c r="G477" s="116"/>
      <c r="H477" s="49">
        <v>2022</v>
      </c>
      <c r="I477" s="19"/>
      <c r="J477" s="54">
        <f t="shared" si="192"/>
        <v>415799.69000000006</v>
      </c>
    </row>
    <row r="478" ht="15.75" hidden="1">
      <c r="G478" s="117"/>
      <c r="H478" s="49">
        <v>2023</v>
      </c>
      <c r="I478" s="19"/>
      <c r="J478" s="54">
        <f t="shared" si="192"/>
        <v>396200.68000000005</v>
      </c>
    </row>
    <row r="479" ht="15.75" hidden="1">
      <c r="G479" s="115" t="s">
        <v>139</v>
      </c>
      <c r="H479" s="49">
        <v>2021</v>
      </c>
      <c r="I479" s="19"/>
      <c r="J479" s="118">
        <f t="shared" ref="J479:J481" si="193">J476-J473</f>
        <v>14774.299999999988</v>
      </c>
    </row>
    <row r="480" ht="15.75" hidden="1">
      <c r="G480" s="116"/>
      <c r="H480" s="49">
        <v>2022</v>
      </c>
      <c r="I480" s="19"/>
      <c r="J480" s="118">
        <f t="shared" si="193"/>
        <v>69677.590000000084</v>
      </c>
    </row>
    <row r="481" ht="15.75" hidden="1">
      <c r="G481" s="117"/>
      <c r="H481" s="49">
        <v>2023</v>
      </c>
      <c r="I481" s="19"/>
      <c r="J481" s="118">
        <f t="shared" si="193"/>
        <v>52467.48000000004</v>
      </c>
    </row>
    <row r="482" ht="15.75" hidden="1"/>
    <row r="483" ht="15.75" hidden="1">
      <c r="G483" s="49" t="s">
        <v>140</v>
      </c>
      <c r="H483" s="49">
        <v>2021</v>
      </c>
      <c r="I483" s="19"/>
      <c r="J483" s="118">
        <f t="shared" ref="J483:J485" si="194">J359+J371+J383+J395</f>
        <v>10776.700000000001</v>
      </c>
    </row>
    <row r="484" ht="15.75" hidden="1">
      <c r="G484" s="49"/>
      <c r="H484" s="49">
        <v>2022</v>
      </c>
      <c r="I484" s="19"/>
      <c r="J484" s="118">
        <f t="shared" si="194"/>
        <v>9420.8999999999996</v>
      </c>
    </row>
    <row r="485" ht="15.75" hidden="1">
      <c r="G485" s="49"/>
      <c r="H485" s="49">
        <v>2023</v>
      </c>
      <c r="I485" s="19"/>
      <c r="J485" s="118">
        <f t="shared" si="194"/>
        <v>7032</v>
      </c>
    </row>
    <row r="486" ht="15.75" hidden="1"/>
    <row r="487" ht="15.75" hidden="1">
      <c r="A487" s="119"/>
      <c r="B487" s="120"/>
      <c r="C487" s="121"/>
      <c r="D487" s="121"/>
      <c r="E487" s="121"/>
      <c r="F487" s="121"/>
      <c r="G487" s="122"/>
      <c r="H487" s="122"/>
      <c r="I487" s="121"/>
      <c r="J487" s="23">
        <v>415875.29999999999</v>
      </c>
      <c r="K487" s="121"/>
      <c r="L487" s="121"/>
      <c r="N487" s="3">
        <v>123964.10000000001</v>
      </c>
    </row>
    <row r="488" ht="15.75" hidden="1">
      <c r="J488" s="123">
        <f>J487-J467</f>
        <v>75.609999999927823</v>
      </c>
      <c r="N488" s="123">
        <f>N487-N467</f>
        <v>1.9999999989522621e-002</v>
      </c>
    </row>
    <row r="489" ht="15.75" hidden="1"/>
    <row r="490" ht="15.75" hidden="1"/>
  </sheetData>
  <mergeCells count="225">
    <mergeCell ref="A1:Q1"/>
    <mergeCell ref="A2:Q2"/>
    <mergeCell ref="N3:Q6"/>
    <mergeCell ref="A8:Q8"/>
    <mergeCell ref="A12:A14"/>
    <mergeCell ref="B12:B14"/>
    <mergeCell ref="C12:C14"/>
    <mergeCell ref="D12:D14"/>
    <mergeCell ref="E12:E14"/>
    <mergeCell ref="F12:F14"/>
    <mergeCell ref="G12:H13"/>
    <mergeCell ref="I12:P12"/>
    <mergeCell ref="Q12:Q13"/>
    <mergeCell ref="I13:J13"/>
    <mergeCell ref="K13:L13"/>
    <mergeCell ref="M13:N13"/>
    <mergeCell ref="O13:P13"/>
    <mergeCell ref="A16:Q16"/>
    <mergeCell ref="A17:Q17"/>
    <mergeCell ref="A18:Q18"/>
    <mergeCell ref="A19:A30"/>
    <mergeCell ref="B19:B30"/>
    <mergeCell ref="Q19:Q30"/>
    <mergeCell ref="C21:C30"/>
    <mergeCell ref="A31:A42"/>
    <mergeCell ref="B31:B42"/>
    <mergeCell ref="Q31:Q42"/>
    <mergeCell ref="C33:C42"/>
    <mergeCell ref="A43:A54"/>
    <mergeCell ref="B43:B54"/>
    <mergeCell ref="Q43:Q54"/>
    <mergeCell ref="C45:C54"/>
    <mergeCell ref="E48:E54"/>
    <mergeCell ref="A55:A116"/>
    <mergeCell ref="Q55:Q116"/>
    <mergeCell ref="B56:B66"/>
    <mergeCell ref="D56:D66"/>
    <mergeCell ref="E56:E66"/>
    <mergeCell ref="C57:C66"/>
    <mergeCell ref="S58:T59"/>
    <mergeCell ref="B67:B78"/>
    <mergeCell ref="D68:D78"/>
    <mergeCell ref="E68:E78"/>
    <mergeCell ref="C70:C78"/>
    <mergeCell ref="B79:B85"/>
    <mergeCell ref="C79:C81"/>
    <mergeCell ref="G81:P85"/>
    <mergeCell ref="B86:B92"/>
    <mergeCell ref="B93:B104"/>
    <mergeCell ref="D93:D104"/>
    <mergeCell ref="E93:E104"/>
    <mergeCell ref="C95:C104"/>
    <mergeCell ref="B105:B116"/>
    <mergeCell ref="D106:D116"/>
    <mergeCell ref="E106:E116"/>
    <mergeCell ref="C107:C116"/>
    <mergeCell ref="A117:A147"/>
    <mergeCell ref="Q117:Q147"/>
    <mergeCell ref="B118:B128"/>
    <mergeCell ref="D118:D128"/>
    <mergeCell ref="E118:E128"/>
    <mergeCell ref="C119:C128"/>
    <mergeCell ref="S120:T121"/>
    <mergeCell ref="B129:B140"/>
    <mergeCell ref="D129:D140"/>
    <mergeCell ref="E129:E140"/>
    <mergeCell ref="C132:C140"/>
    <mergeCell ref="B141:B147"/>
    <mergeCell ref="C141:C143"/>
    <mergeCell ref="G143:P147"/>
    <mergeCell ref="B148:B159"/>
    <mergeCell ref="C148:C159"/>
    <mergeCell ref="D148:D159"/>
    <mergeCell ref="E148:E159"/>
    <mergeCell ref="A160:A247"/>
    <mergeCell ref="Q160:Q247"/>
    <mergeCell ref="B161:B171"/>
    <mergeCell ref="D161:D171"/>
    <mergeCell ref="E161:E171"/>
    <mergeCell ref="C162:C171"/>
    <mergeCell ref="S162:T164"/>
    <mergeCell ref="B172:B183"/>
    <mergeCell ref="D173:D183"/>
    <mergeCell ref="E173:E183"/>
    <mergeCell ref="C175:C183"/>
    <mergeCell ref="B184:B195"/>
    <mergeCell ref="D185:D190"/>
    <mergeCell ref="E185:E190"/>
    <mergeCell ref="C186:C195"/>
    <mergeCell ref="G190:P190"/>
    <mergeCell ref="B196:B207"/>
    <mergeCell ref="D196:D201"/>
    <mergeCell ref="E196:E201"/>
    <mergeCell ref="C198:C200"/>
    <mergeCell ref="G201:P201"/>
    <mergeCell ref="B208:B214"/>
    <mergeCell ref="C208:C210"/>
    <mergeCell ref="E208:E210"/>
    <mergeCell ref="G210:P214"/>
    <mergeCell ref="B215:B221"/>
    <mergeCell ref="C215:C217"/>
    <mergeCell ref="E215:E217"/>
    <mergeCell ref="G217:P221"/>
    <mergeCell ref="B222:B228"/>
    <mergeCell ref="C222:C224"/>
    <mergeCell ref="E222:E224"/>
    <mergeCell ref="G224:P228"/>
    <mergeCell ref="B229:B235"/>
    <mergeCell ref="B236:B247"/>
    <mergeCell ref="D236:D247"/>
    <mergeCell ref="E236:E247"/>
    <mergeCell ref="C238:C247"/>
    <mergeCell ref="A248:A351"/>
    <mergeCell ref="D248:D259"/>
    <mergeCell ref="E248:E259"/>
    <mergeCell ref="Q248:Q351"/>
    <mergeCell ref="B249:B259"/>
    <mergeCell ref="C250:C259"/>
    <mergeCell ref="S251:T253"/>
    <mergeCell ref="B260:B271"/>
    <mergeCell ref="D260:D271"/>
    <mergeCell ref="E260:E271"/>
    <mergeCell ref="C263:C271"/>
    <mergeCell ref="B272:B283"/>
    <mergeCell ref="D273:D283"/>
    <mergeCell ref="E273:E283"/>
    <mergeCell ref="C274:C283"/>
    <mergeCell ref="B284:B290"/>
    <mergeCell ref="C284:C286"/>
    <mergeCell ref="G286:P290"/>
    <mergeCell ref="B291:B297"/>
    <mergeCell ref="C291:C293"/>
    <mergeCell ref="E291:E293"/>
    <mergeCell ref="G293:P297"/>
    <mergeCell ref="B298:B304"/>
    <mergeCell ref="B305:B311"/>
    <mergeCell ref="B312:B318"/>
    <mergeCell ref="C312:C314"/>
    <mergeCell ref="E312:E314"/>
    <mergeCell ref="G314:P318"/>
    <mergeCell ref="B319:B325"/>
    <mergeCell ref="C319:C321"/>
    <mergeCell ref="E319:E321"/>
    <mergeCell ref="G321:P325"/>
    <mergeCell ref="B326:B332"/>
    <mergeCell ref="C326:C328"/>
    <mergeCell ref="E326:E328"/>
    <mergeCell ref="G328:P332"/>
    <mergeCell ref="B333:B339"/>
    <mergeCell ref="C333:C335"/>
    <mergeCell ref="E333:E335"/>
    <mergeCell ref="G335:P339"/>
    <mergeCell ref="B340:B351"/>
    <mergeCell ref="D340:D351"/>
    <mergeCell ref="E340:E351"/>
    <mergeCell ref="C342:C351"/>
    <mergeCell ref="A352:A363"/>
    <mergeCell ref="B352:B363"/>
    <mergeCell ref="C352:C355"/>
    <mergeCell ref="D352:D363"/>
    <mergeCell ref="E352:E363"/>
    <mergeCell ref="Q352:Q363"/>
    <mergeCell ref="C356:C363"/>
    <mergeCell ref="A364:A375"/>
    <mergeCell ref="B364:B375"/>
    <mergeCell ref="C364:C367"/>
    <mergeCell ref="D364:D375"/>
    <mergeCell ref="E364:E375"/>
    <mergeCell ref="Q364:Q375"/>
    <mergeCell ref="C368:C375"/>
    <mergeCell ref="A376:A387"/>
    <mergeCell ref="B376:B387"/>
    <mergeCell ref="C376:C379"/>
    <mergeCell ref="D376:D387"/>
    <mergeCell ref="E376:E387"/>
    <mergeCell ref="Q376:Q387"/>
    <mergeCell ref="C380:C387"/>
    <mergeCell ref="A388:A399"/>
    <mergeCell ref="B388:B399"/>
    <mergeCell ref="C388:C391"/>
    <mergeCell ref="D388:D399"/>
    <mergeCell ref="E388:E399"/>
    <mergeCell ref="Q388:Q399"/>
    <mergeCell ref="C392:C399"/>
    <mergeCell ref="Q400:Q406"/>
    <mergeCell ref="A401:A434"/>
    <mergeCell ref="B401:B406"/>
    <mergeCell ref="C404:C406"/>
    <mergeCell ref="B407:B413"/>
    <mergeCell ref="C407:C410"/>
    <mergeCell ref="Q407:Q413"/>
    <mergeCell ref="C411:C413"/>
    <mergeCell ref="B414:B420"/>
    <mergeCell ref="C414:C417"/>
    <mergeCell ref="Q414:Q420"/>
    <mergeCell ref="C418:C420"/>
    <mergeCell ref="B421:B427"/>
    <mergeCell ref="C421:C424"/>
    <mergeCell ref="Q421:Q427"/>
    <mergeCell ref="C425:C427"/>
    <mergeCell ref="B428:B434"/>
    <mergeCell ref="C428:C431"/>
    <mergeCell ref="Q428:Q434"/>
    <mergeCell ref="C432:C434"/>
    <mergeCell ref="D435:D446"/>
    <mergeCell ref="E435:E446"/>
    <mergeCell ref="A436:A446"/>
    <mergeCell ref="B436:B446"/>
    <mergeCell ref="C437:C446"/>
    <mergeCell ref="A447:A458"/>
    <mergeCell ref="B447:B458"/>
    <mergeCell ref="C447:C450"/>
    <mergeCell ref="D447:D458"/>
    <mergeCell ref="E447:E458"/>
    <mergeCell ref="Q447:Q458"/>
    <mergeCell ref="C451:C458"/>
    <mergeCell ref="A459:A470"/>
    <mergeCell ref="B459:B470"/>
    <mergeCell ref="C459:C470"/>
    <mergeCell ref="D459:D470"/>
    <mergeCell ref="E459:E470"/>
    <mergeCell ref="S460:T462"/>
    <mergeCell ref="G473:G475"/>
    <mergeCell ref="G476:G478"/>
    <mergeCell ref="G479:G481"/>
  </mergeCells>
  <printOptions headings="0" gridLines="0"/>
  <pageMargins left="0.15748031496062992" right="0.15748031496062992" top="0.19685039370078738" bottom="0.19685039370078738" header="0.31496099999999999" footer="0.31496099999999999"/>
  <pageSetup paperSize="9" scale="28" firstPageNumber="1" fitToWidth="1" fitToHeight="0" pageOrder="downThenOver" orientation="landscape" usePrinterDefaults="1" blackAndWhite="0" draft="0" cellComments="none" useFirstPageNumber="0" errors="displayed" horizontalDpi="600" verticalDpi="600" copies="1"/>
  <headerFooter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Company>Grizli777</Company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revision>2</cp:revision>
  <dcterms:created xsi:type="dcterms:W3CDTF">2014-06-24T05:35:00Z</dcterms:created>
  <dcterms:modified xsi:type="dcterms:W3CDTF">2023-03-03T08:06:49Z</dcterms:modified>
  <cp:version>786432</cp:version>
</cp:coreProperties>
</file>