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persons/person.xml" ContentType="application/vnd.ms-excel.person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Лист1" sheetId="1" state="visible" r:id="rId2"/>
  </sheets>
  <definedNames>
    <definedName name="Print_Titles" localSheetId="0">'Лист1'!$12:$14</definedName>
  </definedName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tc={00190093-005A-42FB-BA7C-00E400F60012}</author>
    <author>tc={00C6008D-00AF-4960-8B77-00B2005F00C3}</author>
    <author>tc={005200B8-0074-473B-8F16-005A00400028}</author>
    <author>tc={0059000B-0083-4FC5-B8C7-008E003500E3}</author>
    <author>tc={007B00D2-0097-4DE8-AEBB-0012007B0009}</author>
  </authors>
  <commentList>
    <comment ref="M67" authorId="0" xr:uid="{00190093-005A-42FB-BA7C-00E400F60012}">
      <text>
        <r>
          <rPr>
            <b/>
            <sz val="9"/>
            <rFont val="Tahoma"/>
          </rPr>
          <t xml:space="preserve">Володина Лидия Михайловна:</t>
        </r>
        <r>
          <rPr>
            <sz val="9"/>
            <rFont val="Tahoma"/>
          </rPr>
          <t xml:space="preserve">
Софинансирование, подали заявку.
</t>
        </r>
      </text>
    </comment>
    <comment ref="J333" authorId="1" xr:uid="{00C6008D-00AF-4960-8B77-00B2005F00C3}">
      <text>
        <r>
          <rPr>
            <b/>
            <sz val="9"/>
            <rFont val="Tahoma"/>
          </rPr>
          <t xml:space="preserve">Шаталина Татьяна Евгеньевна:</t>
        </r>
        <r>
          <rPr>
            <sz val="9"/>
            <rFont val="Tahoma"/>
          </rPr>
          <t xml:space="preserve">
890 фнр к дню победы
</t>
        </r>
      </text>
    </comment>
    <comment ref="I184" authorId="2" xr:uid="{005200B8-0074-473B-8F16-005A00400028}">
      <text>
        <r>
          <rPr>
            <b/>
            <sz val="9"/>
            <rFont val="Tahoma"/>
          </rPr>
          <t xml:space="preserve">Володина Лидия Михайловна:</t>
        </r>
        <r>
          <rPr>
            <sz val="9"/>
            <rFont val="Tahoma"/>
          </rPr>
          <t xml:space="preserve">
Для софинансирования 418,0
</t>
        </r>
      </text>
    </comment>
    <comment ref="M184" authorId="3" xr:uid="{0059000B-0083-4FC5-B8C7-008E003500E3}">
      <text>
        <r>
          <rPr>
            <b/>
            <sz val="9"/>
            <rFont val="Tahoma"/>
          </rPr>
          <t xml:space="preserve">Володина Лидия Михайловна:</t>
        </r>
        <r>
          <rPr>
            <sz val="9"/>
            <rFont val="Tahoma"/>
          </rPr>
          <t xml:space="preserve">
Софинансирование, заявку подали.
</t>
        </r>
      </text>
    </comment>
    <comment ref="O68" authorId="4" xr:uid="{007B00D2-0097-4DE8-AEBB-0012007B0009}">
      <text>
        <r>
          <rPr>
            <b/>
            <sz val="9"/>
            <rFont val="Tahoma"/>
          </rPr>
          <t>Shatalina:</t>
        </r>
        <r>
          <rPr>
            <sz val="9"/>
            <rFont val="Tahoma"/>
          </rPr>
          <t xml:space="preserve">
c ост. на нач года
</t>
        </r>
      </text>
    </comment>
  </commentList>
</comments>
</file>

<file path=xl/sharedStrings.xml><?xml version="1.0" encoding="utf-8"?>
<sst xmlns="http://schemas.openxmlformats.org/spreadsheetml/2006/main" count="140" uniqueCount="140">
  <si>
    <t xml:space="preserve">Приложение 4 к постановлению
администрации Города Томска от 30.01.2023    № 79
</t>
  </si>
  <si>
    <t xml:space="preserve"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2015 - 2025 годы</t>
  </si>
  <si>
    <t xml:space="preserve">ПЕРЕЧЕНЬ МЕРОПРИЯТИЙ И РЕСУРСНОЕ ОБЕСПЕЧЕНИЕ  ПОДПРОГРАММЫ 1 «РАЗВИТИЕ КУЛЬТУРЫ»</t>
  </si>
  <si>
    <t>№</t>
  </si>
  <si>
    <t xml:space="preserve">Наименования целей, задач, ведомственных целевых программ,  мероприятий муниципальной подпрограммы</t>
  </si>
  <si>
    <t xml:space="preserve">Код бюджетной классификации (КЦСР, КВР)</t>
  </si>
  <si>
    <t xml:space="preserve">Уровень приоритетности мероприятий</t>
  </si>
  <si>
    <t xml:space="preserve">Критерий уровня приоритетности мероприятий</t>
  </si>
  <si>
    <t xml:space="preserve">Срок исполнения</t>
  </si>
  <si>
    <t xml:space="preserve">Объем финансирования (тыс. руб.)</t>
  </si>
  <si>
    <t xml:space="preserve">В том числе, за счет средств</t>
  </si>
  <si>
    <t xml:space="preserve">Ответственный исполнитель, соисполнители, участники</t>
  </si>
  <si>
    <t xml:space="preserve">местного бюджета </t>
  </si>
  <si>
    <t xml:space="preserve">федерального бюджета</t>
  </si>
  <si>
    <t xml:space="preserve">областного бюджета</t>
  </si>
  <si>
    <t xml:space="preserve">внебюджетных источников</t>
  </si>
  <si>
    <t>потребность</t>
  </si>
  <si>
    <t>утверждено</t>
  </si>
  <si>
    <t>план</t>
  </si>
  <si>
    <r>
      <t>Цель:</t>
    </r>
    <r>
      <rPr>
        <sz val="10"/>
        <color indexed="64"/>
        <rFont val="Times New Roman"/>
      </rPr>
      <t xml:space="preserve"> Повышение качества и доступности услуг в сфере культуры</t>
    </r>
  </si>
  <si>
    <t xml:space="preserve">Основное мероприятие «Организация предоставления услуг в области культуры» (решается в рамках задач 1.1, 1.2, 1.4)</t>
  </si>
  <si>
    <t>всего</t>
  </si>
  <si>
    <t xml:space="preserve">УК    АКР
АЛР
АОР
АСР</t>
  </si>
  <si>
    <t xml:space="preserve">2015 год</t>
  </si>
  <si>
    <t xml:space="preserve">КЦСР 0310100000, КВР 000</t>
  </si>
  <si>
    <t xml:space="preserve">2016 год</t>
  </si>
  <si>
    <t xml:space="preserve">2017 год</t>
  </si>
  <si>
    <t xml:space="preserve">2018 год</t>
  </si>
  <si>
    <t xml:space="preserve">2019 год</t>
  </si>
  <si>
    <t xml:space="preserve">2020 год</t>
  </si>
  <si>
    <t xml:space="preserve">2021 год</t>
  </si>
  <si>
    <t xml:space="preserve">2022 год</t>
  </si>
  <si>
    <t xml:space="preserve">2023 год</t>
  </si>
  <si>
    <t xml:space="preserve">2024 год</t>
  </si>
  <si>
    <t xml:space="preserve">2025 год</t>
  </si>
  <si>
    <t xml:space="preserve">  Основное мероприятие  «Организация предоставления
дополнительного образования художественно-
эстетической направленности детям» (решается в рамках задачи 1.3)       </t>
  </si>
  <si>
    <t>УК</t>
  </si>
  <si>
    <t xml:space="preserve">КЦСР 0310200000, КВР 000</t>
  </si>
  <si>
    <t xml:space="preserve">Основное мероприятие  «Реализация регионального проекта «Культурная среда» национального проекта  «Культура» (решается в рамках задачи 1.5) </t>
  </si>
  <si>
    <t xml:space="preserve">КЦСР 03 1 А1 00000, КВР 000</t>
  </si>
  <si>
    <t>1.</t>
  </si>
  <si>
    <t xml:space="preserve">Задача 1.1 </t>
  </si>
  <si>
    <t xml:space="preserve">Организация библиотечного обслуживания населения </t>
  </si>
  <si>
    <t xml:space="preserve">КЦСР 03 1 0000,               КВР 000</t>
  </si>
  <si>
    <t xml:space="preserve">КЦСР 03 1 01 00000,               КВР 000</t>
  </si>
  <si>
    <t xml:space="preserve">1.1.1. Обеспечение беспрепятственного доступа населения к информационно-библиотечным ресурсам</t>
  </si>
  <si>
    <t xml:space="preserve">КЦСР 0316406,                             0316405,                                                       0310059,                                       КВР 621, 622</t>
  </si>
  <si>
    <t>I</t>
  </si>
  <si>
    <t xml:space="preserve">А                    </t>
  </si>
  <si>
    <t xml:space="preserve">КЦСР 0310100590, 0310140650, 0310140660,               КВР 621,622</t>
  </si>
  <si>
    <t xml:space="preserve">КЦСР 0310100590, 03101S0650,                 03101S0660, 0310140650, 0310140660,  03101L5190;      03101L519F                КВР 621,622</t>
  </si>
  <si>
    <t xml:space="preserve">1.1.2.Приобретение доступа к полнотекстовым базам книг и периодических изданий</t>
  </si>
  <si>
    <t xml:space="preserve"> с 01.01.2016 мероприятие реализуется в рамках мероприятия 1.1.1. Обеспечение беспрепятственного доступа населения к информационно-библиотечным ресурсам</t>
  </si>
  <si>
    <t xml:space="preserve">1.1.3. Разработка проектно-сметной документации на проведение капитального ремонта и капитальный ремонт муниципальной библиотеки ( далее-МБ) «Кольцевая», МБ «Эврика» 2017 год . МБ «Лада» 2018 год</t>
  </si>
  <si>
    <t xml:space="preserve">1.1.3 .Обеспечение пожарной безопасности муниципальных библиотек</t>
  </si>
  <si>
    <t>II</t>
  </si>
  <si>
    <t xml:space="preserve">КЦСР 0310100590,           КВР 622, 621</t>
  </si>
  <si>
    <t xml:space="preserve">1.1.4.Организация трудоустройства несовершеннолетних детей в каникулярное время</t>
  </si>
  <si>
    <t xml:space="preserve">КЦСР 0310059,           КВР 622</t>
  </si>
  <si>
    <t xml:space="preserve">КЦСР 0310100590,           КВР 622</t>
  </si>
  <si>
    <t>2.</t>
  </si>
  <si>
    <t xml:space="preserve">Задача 1.2.</t>
  </si>
  <si>
    <t xml:space="preserve"> Организация  музейного обслуживания  населения</t>
  </si>
  <si>
    <t xml:space="preserve">КЦСР 03 1 01 00000,                  КВР 000 </t>
  </si>
  <si>
    <t xml:space="preserve">1.2.1. Обеспечение равного доступа к культурным ценностям посредством предоставления музейных услуг</t>
  </si>
  <si>
    <t xml:space="preserve">КЦСР 0316406,                             0316405,                                                       0310059,                    КВР 621, 622</t>
  </si>
  <si>
    <t xml:space="preserve">КЦСР 0310100590, 0310140650, 0310140660,               КВР 621, 622</t>
  </si>
  <si>
    <t xml:space="preserve">КЦСР 0310100590, 03101S0650,                 03101S0660, 0310140650, 0310140660,               КВР 621,622</t>
  </si>
  <si>
    <t xml:space="preserve">1.2.2. Оцифровка и электронная каталогизация музейного фонда Музея истории Томска</t>
  </si>
  <si>
    <t>-</t>
  </si>
  <si>
    <t xml:space="preserve">с 01.01.2016 мероприятие реализуется в рамках мероприятия 1.2.1. Обеспечение равного доступа к культурным ценностям посредством предоставления музейных услуг</t>
  </si>
  <si>
    <t xml:space="preserve">1.2.3. Проведение мероприятий по обеспечению противопожарной безопасности в  музее.</t>
  </si>
  <si>
    <t xml:space="preserve">Задача 1.3.</t>
  </si>
  <si>
    <t xml:space="preserve">Организация предоставления дополнительного образования художественно-эстетической направленности </t>
  </si>
  <si>
    <t xml:space="preserve">КЦСР 00 0 0000, КВР 000</t>
  </si>
  <si>
    <t xml:space="preserve">КЦСР 03 1 02 00000,                 КВР 000</t>
  </si>
  <si>
    <t xml:space="preserve">1.3.1. Предоставление дополнительного образования </t>
  </si>
  <si>
    <t xml:space="preserve">КЦСР 0316505, 0316309,      0316012,      0310059,            КВР 611, 612, 621, 622</t>
  </si>
  <si>
    <t xml:space="preserve">КЦСР  0310240400, 0310240530, 0310240670, 0310200590,             КВР 611,612, 621, 622</t>
  </si>
  <si>
    <t xml:space="preserve">КЦСР 0310200590, 03102S0400, 0310240530, 03102S0670, 0310240670, 0310240400,     0310240690, 0310241030,  03102L5190                КВР 611,612, 621, 622</t>
  </si>
  <si>
    <t xml:space="preserve">1.3.2. Обеспечение муниципальных учреждений дополнительного образования музыкальными инструментами</t>
  </si>
  <si>
    <t xml:space="preserve">КЦСР 0310059,           КВР 622, 621,  612,611</t>
  </si>
  <si>
    <t xml:space="preserve">КЦСР 0310200590,  03102L5190            КВР 622, 621,  612,611</t>
  </si>
  <si>
    <t xml:space="preserve">с 01.01.2020 мероприятия реализуются в рамках мероприятия 1.3.1. Предоставление дополнительного образования</t>
  </si>
  <si>
    <t xml:space="preserve">1.3.3. Обеспечение муниципальных учреждений дополнительного образования специальным оборудованием</t>
  </si>
  <si>
    <t xml:space="preserve">КЦСР 0310200590,           КВР 622,  612, 611, 621</t>
  </si>
  <si>
    <t xml:space="preserve">с 01.01.2019 мероприятия реализуются в рамках мероприятия 1.3.1. Предоставление дополнительного образования</t>
  </si>
  <si>
    <t xml:space="preserve">1.3.4. Внедрение современных информационных технологий в образовательный процесс    </t>
  </si>
  <si>
    <t xml:space="preserve">с 01.01.2016 мероприятия реализуются в рамках мероприятия 1.3.1. Предоставление дополнительного образования</t>
  </si>
  <si>
    <t xml:space="preserve">1.3.5. Совершенствование системы образовательного процесса </t>
  </si>
  <si>
    <t xml:space="preserve">1.3.6. Развитие и поддержка творческих коллективов, одаренных детей и молодежи  в МОУ ДО</t>
  </si>
  <si>
    <t xml:space="preserve">1.3.7. Разработка проектно-сметной документации на проведение капитального ремонта и капитальный ремонт  ДШИ №1, ДМШ №2</t>
  </si>
  <si>
    <t xml:space="preserve">1.3.7. Обеспечение пожарной безопасности МОУ ДО</t>
  </si>
  <si>
    <t>A</t>
  </si>
  <si>
    <t xml:space="preserve">КЦСР 0310059,           КВР 622, 612</t>
  </si>
  <si>
    <t xml:space="preserve">КЦСР 0310200590,          КВР 622, 612</t>
  </si>
  <si>
    <t xml:space="preserve">Задача  1.4. </t>
  </si>
  <si>
    <t xml:space="preserve">Организация предоставления  культурно- досуговых услуг</t>
  </si>
  <si>
    <t xml:space="preserve">КЦСР 03 1 01 00000,                      КВР 000 </t>
  </si>
  <si>
    <t xml:space="preserve">1.4.1. Предоставление культурно-досуговых услуг.</t>
  </si>
  <si>
    <t xml:space="preserve">КЦСР 0310100590, 03101S0650,                 03101S0660, 0310140650, 0310140660, 03101L4670                КВР 621,622</t>
  </si>
  <si>
    <t xml:space="preserve">1.4.2. Создание условий для организации пляжного отдыха</t>
  </si>
  <si>
    <t xml:space="preserve">КЦСР 0310059,           КВР 621, 622</t>
  </si>
  <si>
    <t xml:space="preserve">КЦСР 0310100590,          КВР 621,622</t>
  </si>
  <si>
    <t xml:space="preserve">1.4.3. Приобретение светотехнического и звукотехнического оборудования</t>
  </si>
  <si>
    <t xml:space="preserve">с 01.01.2016 мероприятия реализуются в рамках мероприятия 1.4.1. Предоставление культурно-досуговых услуг</t>
  </si>
  <si>
    <t xml:space="preserve">1.4.4. Приобретение передвижных сценических площадок, навесов, другого оборудования для уличных мероприятий</t>
  </si>
  <si>
    <t xml:space="preserve">1.4.5. Разработка проектно-сметной документации на проведение капитального ремонта и капитальный ремонт ДК «Маяк» ДК «Светлый» 2017 год ДК «Томский перекресток» 2018 год
</t>
  </si>
  <si>
    <t xml:space="preserve">ДК "Светлый" 2017 год</t>
  </si>
  <si>
    <t xml:space="preserve">ДК "Томский перекресток" 2018 год</t>
  </si>
  <si>
    <t xml:space="preserve">1.4.6. Строительство МКОЦ «Степановский»</t>
  </si>
  <si>
    <t xml:space="preserve">1.4.5. Создание условий для сохранения и развития традиционной народной культуры, нематериального культурного наследия  </t>
  </si>
  <si>
    <t xml:space="preserve">с 01.01.2016 мероприятие реализуется в рамках подпрограммы IV.III «Организация и обеспечение эффективного функционирования сети учреждений»</t>
  </si>
  <si>
    <t xml:space="preserve">1.4.6. Проведение городского конкурса творческих проектов</t>
  </si>
  <si>
    <t xml:space="preserve">1.4.7. Создание условий для сохранения и развития исполнительских искусств</t>
  </si>
  <si>
    <t xml:space="preserve">с 01.01.2016 мероприятие реализуется в рамках мероприятия 1.4.1. Предоставление культурно-досуговых услуг</t>
  </si>
  <si>
    <t xml:space="preserve">1.4.8. Поддержка мероприятий, посвящённых значимым событиям российской культуры и развитию культурного сотрудничества</t>
  </si>
  <si>
    <t xml:space="preserve">1.4.9. Обеспечение пожарной безопасности культурно-досуговых учреждений</t>
  </si>
  <si>
    <t xml:space="preserve">КЦСР 0310100590,          КВР 622</t>
  </si>
  <si>
    <t xml:space="preserve">1.4.10. Организация и проведение Администрацией Кировского района Города Томска социально значимых мероприятий*</t>
  </si>
  <si>
    <t>Ж</t>
  </si>
  <si>
    <t>АКР</t>
  </si>
  <si>
    <t xml:space="preserve">КЦСР 03 1 01 20380 КВР 244</t>
  </si>
  <si>
    <t xml:space="preserve">1.4.11. Организация и проведение Администрацией  Ленинского района Города Томска социально значимых мероприятий*</t>
  </si>
  <si>
    <t>АЛР</t>
  </si>
  <si>
    <t xml:space="preserve">1.4.12. Организация и проведение Администрацией Октябрьского района Города Томска социально значимых мероприятий*</t>
  </si>
  <si>
    <t>АОР</t>
  </si>
  <si>
    <t xml:space="preserve">1.4.13. Организация и проведение Администрацией Советского района Города Томска социально значимых мероприятий*</t>
  </si>
  <si>
    <t>АСР</t>
  </si>
  <si>
    <t xml:space="preserve">Задача  1.5</t>
  </si>
  <si>
    <t xml:space="preserve">Реализация регионального проекта «Культурная среда» национального проекта  «Культура»</t>
  </si>
  <si>
    <t xml:space="preserve">КЦСР 03 1 А1  00000,     КВР 000 </t>
  </si>
  <si>
    <t xml:space="preserve">1.5.1.Создание модельных муниципальных библиотек по результатам конкурсного отбора, проводимого Министерством культуры Российской Федерации</t>
  </si>
  <si>
    <t>А</t>
  </si>
  <si>
    <t xml:space="preserve">КЦСР 03 1 А1 54540,     03 1 A1 5454F            КВР 622</t>
  </si>
  <si>
    <t xml:space="preserve">Итого по Подпрограмме 1 </t>
  </si>
  <si>
    <t xml:space="preserve">по бюджету</t>
  </si>
  <si>
    <t xml:space="preserve">по МП</t>
  </si>
  <si>
    <t>разница</t>
  </si>
  <si>
    <t>районы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</si>
</sst>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160" formatCode="_-* #,##0.00\ &quot;₽&quot;_-;\-* #,##0.00\ &quot;₽&quot;_-;_-* &quot;-&quot;??\ &quot;₽&quot;_-;_-@_-"/>
    <numFmt numFmtId="161" formatCode="_-* #,##0\ &quot;₽&quot;_-;\-* #,##0\ &quot;₽&quot;_-;_-* &quot;-&quot;\ &quot;₽&quot;_-;_-@_-"/>
    <numFmt numFmtId="162" formatCode="_-* #,##0.00\ _₽_-;\-* #,##0.00\ _₽_-;_-* &quot;-&quot;??\ _₽_-;_-@_-"/>
    <numFmt numFmtId="163" formatCode="_-* #,##0\ _₽_-;\-* #,##0\ _₽_-;_-* &quot;-&quot;\ _₽_-;_-@_-"/>
    <numFmt numFmtId="164" formatCode="#,##0.0"/>
    <numFmt numFmtId="165" formatCode="_-* #,##0.0\ _₽_-;\-* #,##0.0\ _₽_-;_-* &quot;-&quot;?\ _₽_-;_-@_-"/>
    <numFmt numFmtId="166" formatCode="0.0"/>
  </numFmts>
  <fonts count="29">
    <font>
      <name val="Times New Roman"/>
      <color theme="1" tint="0"/>
      <sz val="12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Times New Roman"/>
      <color theme="10" tint="0"/>
      <sz val="10.800000"/>
      <u/>
    </font>
    <font>
      <name val="Times New Roman"/>
      <color indexed="64"/>
      <sz val="12.000000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Times New Roman"/>
      <color theme="11" tint="0"/>
      <sz val="10.800000"/>
      <u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Times New Roman"/>
      <b/>
      <color indexed="64"/>
      <sz val="12.000000"/>
    </font>
    <font>
      <name val="Times New Roman"/>
      <color indexed="64"/>
      <sz val="10.000000"/>
    </font>
    <font>
      <name val="Times New Roman"/>
      <b/>
      <color indexed="64"/>
      <sz val="10.000000"/>
    </font>
    <font>
      <name val="Times New Roman"/>
      <i/>
      <color indexed="64"/>
      <sz val="10.000000"/>
    </font>
    <font>
      <name val="Times New Roman"/>
      <b/>
      <color theme="1" tint="0"/>
      <sz val="12.000000"/>
    </font>
    <font>
      <name val="Times New Roman"/>
      <b/>
      <i/>
      <color indexed="64"/>
      <sz val="10.000000"/>
    </font>
    <font>
      <name val="Times New Roman"/>
      <sz val="10.000000"/>
    </font>
    <font>
      <name val="Times New Roman"/>
      <color indexed="64"/>
      <sz val="11.000000"/>
    </font>
  </fonts>
  <fills count="36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theme="7" tint="0.59999400000000003"/>
        <bgColor theme="7" tint="0.59999400000000003"/>
      </patternFill>
    </fill>
    <fill>
      <patternFill patternType="solid">
        <fgColor theme="8" tint="0.59999400000000003"/>
        <bgColor theme="8" tint="0.59999400000000003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9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6" fillId="0" borderId="0" numFmtId="0" applyNumberFormat="1" applyFont="1" applyFill="1" applyBorder="1">
      <alignment vertical="top"/>
    </xf>
    <xf fontId="7" fillId="0" borderId="0" numFmtId="160" applyNumberFormat="1" applyFont="1" applyFill="1" applyBorder="1"/>
    <xf fontId="7" fillId="0" borderId="0" numFmtId="161" applyNumberFormat="1" applyFont="1" applyFill="1" applyBorder="1"/>
    <xf fontId="8" fillId="0" borderId="3" numFmtId="0" applyNumberFormat="1" applyFont="1" applyFill="1" applyBorder="1"/>
    <xf fontId="9" fillId="0" borderId="4" numFmtId="0" applyNumberFormat="1" applyFont="1" applyFill="1" applyBorder="1"/>
    <xf fontId="10" fillId="0" borderId="5" numFmtId="0" applyNumberFormat="1" applyFont="1" applyFill="1" applyBorder="1"/>
    <xf fontId="10" fillId="0" borderId="0" numFmtId="0" applyNumberFormat="1" applyFont="1" applyFill="1" applyBorder="1"/>
    <xf fontId="11" fillId="0" borderId="6" numFmtId="0" applyNumberFormat="1" applyFont="1" applyFill="1" applyBorder="1"/>
    <xf fontId="12" fillId="28" borderId="7" numFmtId="0" applyNumberFormat="1" applyFont="1" applyFill="1" applyBorder="1"/>
    <xf fontId="13" fillId="0" borderId="0" numFmtId="0" applyNumberFormat="1" applyFont="1" applyFill="1" applyBorder="1"/>
    <xf fontId="14" fillId="29" borderId="0" numFmtId="0" applyNumberFormat="1" applyFont="1" applyFill="1" applyBorder="1"/>
    <xf fontId="15" fillId="0" borderId="0" numFmtId="0" applyNumberFormat="1" applyFont="1" applyFill="1" applyBorder="1">
      <alignment vertical="top"/>
    </xf>
    <xf fontId="16" fillId="30" borderId="0" numFmtId="0" applyNumberFormat="1" applyFont="1" applyFill="1" applyBorder="1"/>
    <xf fontId="17" fillId="0" borderId="0" numFmtId="0" applyNumberFormat="1" applyFont="1" applyFill="1" applyBorder="1"/>
    <xf fontId="7" fillId="31" borderId="8" numFmtId="0" applyNumberFormat="1" applyFont="1" applyFill="1" applyBorder="1"/>
    <xf fontId="7" fillId="0" borderId="0" numFmtId="9" applyNumberFormat="1" applyFont="1" applyFill="1" applyBorder="1"/>
    <xf fontId="18" fillId="0" borderId="9" numFmtId="0" applyNumberFormat="1" applyFont="1" applyFill="1" applyBorder="1"/>
    <xf fontId="19" fillId="0" borderId="0" numFmtId="0" applyNumberFormat="1" applyFont="1" applyFill="1" applyBorder="1"/>
    <xf fontId="7" fillId="0" borderId="0" numFmtId="162" applyNumberFormat="1" applyFont="1" applyFill="1" applyBorder="1"/>
    <xf fontId="7" fillId="0" borderId="0" numFmtId="163" applyNumberFormat="1" applyFont="1" applyFill="1" applyBorder="1"/>
    <xf fontId="20" fillId="32" borderId="0" numFmtId="0" applyNumberFormat="1" applyFont="1" applyFill="1" applyBorder="1"/>
  </cellStyleXfs>
  <cellXfs count="161">
    <xf fontId="0" fillId="0" borderId="0" numFmtId="0" xfId="0"/>
    <xf fontId="0" fillId="33" borderId="0" numFmtId="0" xfId="0" applyFill="1"/>
    <xf fontId="0" fillId="33" borderId="0" numFmtId="0" xfId="0" applyFill="1" applyAlignment="1">
      <alignment horizontal="left"/>
    </xf>
    <xf fontId="0" fillId="33" borderId="0" numFmtId="0" xfId="0" applyFill="1" applyAlignment="1">
      <alignment horizontal="center" vertical="center"/>
    </xf>
    <xf fontId="21" fillId="33" borderId="0" numFmtId="0" xfId="0" applyFont="1" applyFill="1" applyAlignment="1">
      <alignment horizontal="center" vertical="center"/>
    </xf>
    <xf fontId="7" fillId="33" borderId="0" numFmtId="0" xfId="0" applyFont="1" applyFill="1" applyAlignment="1">
      <alignment horizontal="center" vertical="center"/>
    </xf>
    <xf fontId="7" fillId="33" borderId="0" numFmtId="0" xfId="0" applyFont="1" applyFill="1" applyAlignment="1">
      <alignment horizontal="right" wrapText="1"/>
    </xf>
    <xf fontId="7" fillId="33" borderId="0" numFmtId="0" xfId="0" applyFont="1" applyFill="1" applyAlignment="1">
      <alignment horizontal="right"/>
    </xf>
    <xf fontId="7" fillId="33" borderId="0" numFmtId="0" xfId="0" applyFont="1" applyFill="1"/>
    <xf fontId="0" fillId="33" borderId="0" numFmtId="0" xfId="0" applyFill="1" applyAlignment="1">
      <alignment horizontal="right" vertical="center" wrapText="1"/>
    </xf>
    <xf fontId="22" fillId="33" borderId="0" numFmtId="0" xfId="0" applyFont="1" applyFill="1" applyAlignment="1">
      <alignment horizontal="center"/>
    </xf>
    <xf fontId="22" fillId="33" borderId="10" numFmtId="0" xfId="0" applyFont="1" applyFill="1" applyBorder="1" applyAlignment="1">
      <alignment horizontal="center" vertical="center" wrapText="1"/>
    </xf>
    <xf fontId="22" fillId="33" borderId="11" numFmtId="0" xfId="0" applyFont="1" applyFill="1" applyBorder="1" applyAlignment="1">
      <alignment horizontal="center" vertical="center" wrapText="1"/>
    </xf>
    <xf fontId="23" fillId="33" borderId="10" numFmtId="0" xfId="0" applyFont="1" applyFill="1" applyBorder="1" applyAlignment="1">
      <alignment horizontal="center" vertical="center" wrapText="1"/>
    </xf>
    <xf fontId="22" fillId="33" borderId="12" numFmtId="0" xfId="0" applyFont="1" applyFill="1" applyBorder="1" applyAlignment="1">
      <alignment horizontal="center" vertical="center" wrapText="1"/>
    </xf>
    <xf fontId="0" fillId="33" borderId="10" numFmtId="0" xfId="0" applyFill="1" applyBorder="1"/>
    <xf fontId="22" fillId="33" borderId="13" numFmtId="0" xfId="0" applyFont="1" applyFill="1" applyBorder="1" applyAlignment="1">
      <alignment horizontal="center" vertical="center" wrapText="1"/>
    </xf>
    <xf fontId="7" fillId="33" borderId="10" numFmtId="0" xfId="0" applyFont="1" applyFill="1" applyBorder="1"/>
    <xf fontId="24" fillId="33" borderId="10" numFmtId="0" xfId="0" applyFont="1" applyFill="1" applyBorder="1" applyAlignment="1">
      <alignment horizontal="left" vertical="top" wrapText="1"/>
    </xf>
    <xf fontId="0" fillId="33" borderId="10" numFmtId="0" xfId="0" applyFill="1" applyBorder="1" applyAlignment="1">
      <alignment horizontal="center" vertical="center"/>
    </xf>
    <xf fontId="25" fillId="33" borderId="0" numFmtId="0" xfId="0" applyFont="1" applyFill="1"/>
    <xf fontId="26" fillId="33" borderId="11" numFmtId="0" xfId="0" applyFont="1" applyFill="1" applyBorder="1" applyAlignment="1">
      <alignment horizontal="center" vertical="top" wrapText="1"/>
    </xf>
    <xf fontId="23" fillId="33" borderId="11" numFmtId="0" xfId="0" applyFont="1" applyFill="1" applyBorder="1" applyAlignment="1">
      <alignment horizontal="center" vertical="center" wrapText="1"/>
    </xf>
    <xf fontId="23" fillId="33" borderId="10" numFmtId="164" xfId="0" applyNumberFormat="1" applyFont="1" applyFill="1" applyBorder="1" applyAlignment="1">
      <alignment horizontal="center" vertical="center" wrapText="1"/>
    </xf>
    <xf fontId="23" fillId="33" borderId="11" numFmtId="0" xfId="0" applyFont="1" applyFill="1" applyBorder="1" applyAlignment="1">
      <alignment horizontal="center" textRotation="90" vertical="center" wrapText="1"/>
    </xf>
    <xf fontId="25" fillId="33" borderId="10" numFmtId="0" xfId="0" applyFont="1" applyFill="1" applyBorder="1"/>
    <xf fontId="21" fillId="33" borderId="0" numFmtId="0" xfId="0" applyFont="1" applyFill="1"/>
    <xf fontId="26" fillId="33" borderId="12" numFmtId="0" xfId="0" applyFont="1" applyFill="1" applyBorder="1" applyAlignment="1">
      <alignment horizontal="center" vertical="top" wrapText="1"/>
    </xf>
    <xf fontId="23" fillId="33" borderId="12" numFmtId="0" xfId="0" applyFont="1" applyFill="1" applyBorder="1" applyAlignment="1">
      <alignment horizontal="center" vertical="center" wrapText="1"/>
    </xf>
    <xf fontId="23" fillId="33" borderId="11" numFmtId="164" xfId="0" applyNumberFormat="1" applyFont="1" applyFill="1" applyBorder="1" applyAlignment="1">
      <alignment horizontal="center" vertical="center" wrapText="1"/>
    </xf>
    <xf fontId="23" fillId="33" borderId="12" numFmtId="0" xfId="0" applyFont="1" applyFill="1" applyBorder="1" applyAlignment="1">
      <alignment horizontal="center" textRotation="90" vertical="center"/>
    </xf>
    <xf fontId="23" fillId="33" borderId="14" numFmtId="0" xfId="0" applyFont="1" applyFill="1" applyBorder="1" applyAlignment="1">
      <alignment vertical="center" wrapText="1"/>
    </xf>
    <xf fontId="21" fillId="33" borderId="0" numFmtId="164" xfId="0" applyNumberFormat="1" applyFont="1" applyFill="1"/>
    <xf fontId="21" fillId="33" borderId="15" numFmtId="0" xfId="0" applyFont="1" applyFill="1" applyBorder="1"/>
    <xf fontId="23" fillId="33" borderId="16" numFmtId="0" xfId="0" applyFont="1" applyFill="1" applyBorder="1" applyAlignment="1">
      <alignment horizontal="center" vertical="center" wrapText="1"/>
    </xf>
    <xf fontId="23" fillId="33" borderId="17" numFmtId="0" xfId="0" applyFont="1" applyFill="1" applyBorder="1" applyAlignment="1">
      <alignment vertical="center" wrapText="1"/>
    </xf>
    <xf fontId="21" fillId="33" borderId="0" numFmtId="165" xfId="0" applyNumberFormat="1" applyFont="1" applyFill="1"/>
    <xf fontId="21" fillId="33" borderId="0" numFmtId="4" xfId="0" applyNumberFormat="1" applyFont="1" applyFill="1"/>
    <xf fontId="21" fillId="33" borderId="10" numFmtId="4" xfId="0" applyNumberFormat="1" applyFont="1" applyFill="1" applyBorder="1"/>
    <xf fontId="21" fillId="34" borderId="0" numFmtId="0" xfId="0" applyFont="1" applyFill="1"/>
    <xf fontId="23" fillId="34" borderId="12" numFmtId="0" xfId="0" applyFont="1" applyFill="1" applyBorder="1" applyAlignment="1">
      <alignment horizontal="center" vertical="center" wrapText="1"/>
    </xf>
    <xf fontId="23" fillId="34" borderId="10" numFmtId="0" xfId="0" applyFont="1" applyFill="1" applyBorder="1" applyAlignment="1">
      <alignment horizontal="center" vertical="center" wrapText="1"/>
    </xf>
    <xf fontId="23" fillId="34" borderId="10" numFmtId="164" xfId="0" applyNumberFormat="1" applyFont="1" applyFill="1" applyBorder="1" applyAlignment="1">
      <alignment horizontal="center" vertical="center" wrapText="1"/>
    </xf>
    <xf fontId="23" fillId="34" borderId="17" numFmtId="0" xfId="0" applyFont="1" applyFill="1" applyBorder="1" applyAlignment="1">
      <alignment vertical="center" wrapText="1"/>
    </xf>
    <xf fontId="21" fillId="34" borderId="10" numFmtId="4" xfId="0" applyNumberFormat="1" applyFont="1" applyFill="1" applyBorder="1"/>
    <xf fontId="21" fillId="34" borderId="0" numFmtId="4" xfId="0" applyNumberFormat="1" applyFont="1" applyFill="1"/>
    <xf fontId="21" fillId="34" borderId="0" numFmtId="164" xfId="0" applyNumberFormat="1" applyFont="1" applyFill="1"/>
    <xf fontId="21" fillId="33" borderId="18" numFmtId="0" xfId="0" applyFont="1" applyFill="1" applyBorder="1"/>
    <xf fontId="26" fillId="33" borderId="13" numFmtId="0" xfId="0" applyFont="1" applyFill="1" applyBorder="1" applyAlignment="1">
      <alignment horizontal="center" vertical="top" wrapText="1"/>
    </xf>
    <xf fontId="23" fillId="33" borderId="13" numFmtId="0" xfId="0" applyFont="1" applyFill="1" applyBorder="1" applyAlignment="1">
      <alignment horizontal="center" vertical="center" wrapText="1"/>
    </xf>
    <xf fontId="23" fillId="33" borderId="13" numFmtId="0" xfId="0" applyFont="1" applyFill="1" applyBorder="1" applyAlignment="1">
      <alignment horizontal="center" textRotation="90" vertical="center"/>
    </xf>
    <xf fontId="23" fillId="33" borderId="19" numFmtId="0" xfId="0" applyFont="1" applyFill="1" applyBorder="1" applyAlignment="1">
      <alignment vertical="center" wrapText="1"/>
    </xf>
    <xf fontId="21" fillId="33" borderId="18" numFmtId="4" xfId="0" applyNumberFormat="1" applyFont="1" applyFill="1" applyBorder="1"/>
    <xf fontId="21" fillId="33" borderId="18" numFmtId="164" xfId="0" applyNumberFormat="1" applyFont="1" applyFill="1" applyBorder="1"/>
    <xf fontId="23" fillId="33" borderId="13" numFmtId="164" xfId="0" applyNumberFormat="1" applyFont="1" applyFill="1" applyBorder="1" applyAlignment="1">
      <alignment horizontal="center" vertical="center" wrapText="1"/>
    </xf>
    <xf fontId="23" fillId="33" borderId="10" numFmtId="0" xfId="0" applyFont="1" applyFill="1" applyBorder="1" applyAlignment="1">
      <alignment horizontal="center" textRotation="90" vertical="center"/>
    </xf>
    <xf fontId="21" fillId="33" borderId="12" numFmtId="0" xfId="0" applyFont="1" applyFill="1" applyBorder="1"/>
    <xf fontId="21" fillId="33" borderId="10" numFmtId="0" xfId="0" applyFont="1" applyFill="1" applyBorder="1" applyAlignment="1">
      <alignment horizontal="center" vertical="center"/>
    </xf>
    <xf fontId="23" fillId="33" borderId="10" numFmtId="0" xfId="0" applyFont="1" applyFill="1" applyBorder="1" applyAlignment="1">
      <alignment horizontal="left" vertical="center" wrapText="1"/>
    </xf>
    <xf fontId="22" fillId="33" borderId="11" numFmtId="0" xfId="0" applyFont="1" applyFill="1" applyBorder="1" applyAlignment="1">
      <alignment horizontal="center" textRotation="90" vertical="center" wrapText="1"/>
    </xf>
    <xf fontId="22" fillId="33" borderId="12" numFmtId="0" xfId="0" applyFont="1" applyFill="1" applyBorder="1" applyAlignment="1">
      <alignment horizontal="center" textRotation="90" vertical="center" wrapText="1"/>
    </xf>
    <xf fontId="23" fillId="33" borderId="20" numFmtId="0" xfId="0" applyFont="1" applyFill="1" applyBorder="1" applyAlignment="1">
      <alignment horizontal="center" vertical="center" wrapText="1"/>
    </xf>
    <xf fontId="22" fillId="33" borderId="10" numFmtId="164" xfId="0" applyNumberFormat="1" applyFont="1" applyFill="1" applyBorder="1" applyAlignment="1">
      <alignment horizontal="center" vertical="center" wrapText="1"/>
    </xf>
    <xf fontId="21" fillId="33" borderId="10" numFmtId="166" xfId="0" applyNumberFormat="1" applyFont="1" applyFill="1" applyBorder="1"/>
    <xf fontId="21" fillId="33" borderId="0" numFmtId="3" xfId="0" applyNumberFormat="1" applyFont="1" applyFill="1"/>
    <xf fontId="21" fillId="35" borderId="0" numFmtId="0" xfId="0" applyFont="1" applyFill="1"/>
    <xf fontId="23" fillId="35" borderId="20" numFmtId="0" xfId="0" applyFont="1" applyFill="1" applyBorder="1" applyAlignment="1">
      <alignment horizontal="center" vertical="center" wrapText="1"/>
    </xf>
    <xf fontId="23" fillId="35" borderId="10" numFmtId="164" xfId="0" applyNumberFormat="1" applyFont="1" applyFill="1" applyBorder="1" applyAlignment="1">
      <alignment horizontal="center" vertical="center" wrapText="1"/>
    </xf>
    <xf fontId="23" fillId="35" borderId="17" numFmtId="0" xfId="0" applyFont="1" applyFill="1" applyBorder="1" applyAlignment="1">
      <alignment vertical="center" wrapText="1"/>
    </xf>
    <xf fontId="21" fillId="35" borderId="10" numFmtId="166" xfId="0" applyNumberFormat="1" applyFont="1" applyFill="1" applyBorder="1"/>
    <xf fontId="21" fillId="35" borderId="0" numFmtId="164" xfId="0" applyNumberFormat="1" applyFont="1" applyFill="1"/>
    <xf fontId="21" fillId="35" borderId="0" numFmtId="3" xfId="0" applyNumberFormat="1" applyFont="1" applyFill="1"/>
    <xf fontId="22" fillId="33" borderId="10" numFmtId="0" xfId="0" applyFont="1" applyFill="1" applyBorder="1" applyAlignment="1">
      <alignment horizontal="left" vertical="center" wrapText="1"/>
    </xf>
    <xf fontId="7" fillId="33" borderId="0" numFmtId="0" xfId="0" applyFont="1" applyFill="1" applyAlignment="1">
      <alignment vertical="center"/>
    </xf>
    <xf fontId="0" fillId="33" borderId="0" numFmtId="164" xfId="0" applyNumberFormat="1" applyFill="1"/>
    <xf fontId="23" fillId="33" borderId="17" numFmtId="164" xfId="0" applyNumberFormat="1" applyFont="1" applyFill="1" applyBorder="1" applyAlignment="1">
      <alignment vertical="center" wrapText="1"/>
    </xf>
    <xf fontId="0" fillId="35" borderId="0" numFmtId="0" xfId="0" applyFill="1"/>
    <xf fontId="22" fillId="35" borderId="10" numFmtId="0" xfId="0" applyFont="1" applyFill="1" applyBorder="1" applyAlignment="1">
      <alignment horizontal="center" vertical="center" wrapText="1"/>
    </xf>
    <xf fontId="22" fillId="35" borderId="10" numFmtId="164" xfId="0" applyNumberFormat="1" applyFont="1" applyFill="1" applyBorder="1" applyAlignment="1">
      <alignment horizontal="center" vertical="center" wrapText="1"/>
    </xf>
    <xf fontId="23" fillId="35" borderId="17" numFmtId="164" xfId="0" applyNumberFormat="1" applyFont="1" applyFill="1" applyBorder="1" applyAlignment="1">
      <alignment vertical="center" wrapText="1"/>
    </xf>
    <xf fontId="0" fillId="35" borderId="0" numFmtId="164" xfId="0" applyNumberFormat="1" applyFill="1"/>
    <xf fontId="22" fillId="33" borderId="21" numFmtId="164" xfId="0" applyNumberFormat="1" applyFont="1" applyFill="1" applyBorder="1" applyAlignment="1">
      <alignment horizontal="center" vertical="center" wrapText="1"/>
    </xf>
    <xf fontId="22" fillId="33" borderId="15" numFmtId="164" xfId="0" applyNumberFormat="1" applyFont="1" applyFill="1" applyBorder="1" applyAlignment="1">
      <alignment horizontal="center" vertical="center" wrapText="1"/>
    </xf>
    <xf fontId="22" fillId="33" borderId="14" numFmtId="164" xfId="0" applyNumberFormat="1" applyFont="1" applyFill="1" applyBorder="1" applyAlignment="1">
      <alignment horizontal="center" vertical="center" wrapText="1"/>
    </xf>
    <xf fontId="27" fillId="33" borderId="12" numFmtId="0" xfId="0" applyFont="1" applyFill="1" applyBorder="1" applyAlignment="1">
      <alignment vertical="center" wrapText="1"/>
    </xf>
    <xf fontId="22" fillId="33" borderId="22" numFmtId="164" xfId="0" applyNumberFormat="1" applyFont="1" applyFill="1" applyBorder="1" applyAlignment="1">
      <alignment horizontal="center" vertical="center" wrapText="1"/>
    </xf>
    <xf fontId="22" fillId="33" borderId="0" numFmtId="164" xfId="0" applyNumberFormat="1" applyFont="1" applyFill="1" applyAlignment="1">
      <alignment horizontal="center" vertical="center" wrapText="1"/>
    </xf>
    <xf fontId="22" fillId="33" borderId="17" numFmtId="164" xfId="0" applyNumberFormat="1" applyFont="1" applyFill="1" applyBorder="1" applyAlignment="1">
      <alignment horizontal="center" vertical="center" wrapText="1"/>
    </xf>
    <xf fontId="22" fillId="33" borderId="23" numFmtId="164" xfId="0" applyNumberFormat="1" applyFont="1" applyFill="1" applyBorder="1" applyAlignment="1">
      <alignment horizontal="center" vertical="center" wrapText="1"/>
    </xf>
    <xf fontId="22" fillId="33" borderId="18" numFmtId="164" xfId="0" applyNumberFormat="1" applyFont="1" applyFill="1" applyBorder="1" applyAlignment="1">
      <alignment horizontal="center" vertical="center" wrapText="1"/>
    </xf>
    <xf fontId="22" fillId="33" borderId="19" numFmtId="164" xfId="0" applyNumberFormat="1" applyFont="1" applyFill="1" applyBorder="1" applyAlignment="1">
      <alignment horizontal="center" vertical="center" wrapText="1"/>
    </xf>
    <xf fontId="27" fillId="33" borderId="11" numFmtId="0" xfId="0" applyFont="1" applyFill="1" applyBorder="1" applyAlignment="1">
      <alignment horizontal="left" vertical="center" wrapText="1"/>
    </xf>
    <xf fontId="27" fillId="33" borderId="11" numFmtId="0" xfId="0" applyFont="1" applyFill="1" applyBorder="1" applyAlignment="1">
      <alignment vertical="center" wrapText="1"/>
    </xf>
    <xf fontId="27" fillId="33" borderId="11" numFmtId="0" xfId="0" applyFont="1" applyFill="1" applyBorder="1" applyAlignment="1">
      <alignment horizontal="center" vertical="center" wrapText="1"/>
    </xf>
    <xf fontId="27" fillId="33" borderId="12" numFmtId="0" xfId="0" applyFont="1" applyFill="1" applyBorder="1" applyAlignment="1">
      <alignment horizontal="left" vertical="center" wrapText="1"/>
    </xf>
    <xf fontId="27" fillId="33" borderId="12" numFmtId="0" xfId="0" applyFont="1" applyFill="1" applyBorder="1" applyAlignment="1">
      <alignment horizontal="center" vertical="center" wrapText="1"/>
    </xf>
    <xf fontId="27" fillId="33" borderId="10" numFmtId="0" xfId="0" applyFont="1" applyFill="1" applyBorder="1" applyAlignment="1">
      <alignment horizontal="center" vertical="center" wrapText="1"/>
    </xf>
    <xf fontId="27" fillId="33" borderId="13" numFmtId="0" xfId="0" applyFont="1" applyFill="1" applyBorder="1" applyAlignment="1">
      <alignment horizontal="left" vertical="center" wrapText="1"/>
    </xf>
    <xf fontId="27" fillId="33" borderId="13" numFmtId="0" xfId="0" applyFont="1" applyFill="1" applyBorder="1" applyAlignment="1">
      <alignment horizontal="center" vertical="center" wrapText="1"/>
    </xf>
    <xf fontId="22" fillId="33" borderId="13" numFmtId="0" xfId="0" applyFont="1" applyFill="1" applyBorder="1" applyAlignment="1">
      <alignment horizontal="center" textRotation="90" vertical="center" wrapText="1"/>
    </xf>
    <xf fontId="0" fillId="33" borderId="12" numFmtId="0" xfId="0" applyFill="1" applyBorder="1" applyAlignment="1">
      <alignment horizontal="center" vertical="center" wrapText="1"/>
    </xf>
    <xf fontId="23" fillId="33" borderId="11" numFmtId="0" xfId="0" applyFont="1" applyFill="1" applyBorder="1" applyAlignment="1">
      <alignment horizontal="left" vertical="center" wrapText="1"/>
    </xf>
    <xf fontId="23" fillId="33" borderId="12" numFmtId="0" xfId="0" applyFont="1" applyFill="1" applyBorder="1" applyAlignment="1">
      <alignment horizontal="left" vertical="center" wrapText="1"/>
    </xf>
    <xf fontId="21" fillId="33" borderId="0" numFmtId="1" xfId="0" applyNumberFormat="1" applyFont="1" applyFill="1"/>
    <xf fontId="23" fillId="33" borderId="13" numFmtId="0" xfId="0" applyFont="1" applyFill="1" applyBorder="1" applyAlignment="1">
      <alignment horizontal="left" vertical="center" wrapText="1"/>
    </xf>
    <xf fontId="22" fillId="33" borderId="11" numFmtId="0" xfId="0" applyFont="1" applyFill="1" applyBorder="1" applyAlignment="1">
      <alignment vertical="center" wrapText="1"/>
    </xf>
    <xf fontId="22" fillId="33" borderId="11" numFmtId="0" xfId="0" applyFont="1" applyFill="1" applyBorder="1" applyAlignment="1">
      <alignment horizontal="left" vertical="center" wrapText="1"/>
    </xf>
    <xf fontId="22" fillId="33" borderId="12" numFmtId="0" xfId="0" applyFont="1" applyFill="1" applyBorder="1" applyAlignment="1">
      <alignment horizontal="left" vertical="center" wrapText="1"/>
    </xf>
    <xf fontId="22" fillId="33" borderId="17" numFmtId="0" xfId="0" applyFont="1" applyFill="1" applyBorder="1" applyAlignment="1">
      <alignment vertical="center" wrapText="1"/>
    </xf>
    <xf fontId="0" fillId="33" borderId="13" numFmtId="0" xfId="0" applyFill="1" applyBorder="1" applyAlignment="1">
      <alignment horizontal="center" vertical="center" wrapText="1"/>
    </xf>
    <xf fontId="22" fillId="33" borderId="13" numFmtId="0" xfId="0" applyFont="1" applyFill="1" applyBorder="1" applyAlignment="1">
      <alignment horizontal="left" vertical="center" wrapText="1"/>
    </xf>
    <xf fontId="28" fillId="33" borderId="21" numFmtId="0" xfId="0" applyFont="1" applyFill="1" applyBorder="1" applyAlignment="1">
      <alignment horizontal="center" vertical="center" wrapText="1"/>
    </xf>
    <xf fontId="28" fillId="33" borderId="14" numFmtId="0" xfId="0" applyFont="1" applyFill="1" applyBorder="1" applyAlignment="1">
      <alignment horizontal="center" vertical="center" wrapText="1"/>
    </xf>
    <xf fontId="28" fillId="33" borderId="22" numFmtId="0" xfId="0" applyFont="1" applyFill="1" applyBorder="1" applyAlignment="1">
      <alignment horizontal="center" vertical="center" wrapText="1"/>
    </xf>
    <xf fontId="28" fillId="33" borderId="17" numFmtId="0" xfId="0" applyFont="1" applyFill="1" applyBorder="1" applyAlignment="1">
      <alignment horizontal="center" vertical="center" wrapText="1"/>
    </xf>
    <xf fontId="28" fillId="33" borderId="23" numFmtId="0" xfId="0" applyFont="1" applyFill="1" applyBorder="1" applyAlignment="1">
      <alignment horizontal="center" vertical="center" wrapText="1"/>
    </xf>
    <xf fontId="28" fillId="33" borderId="19" numFmtId="0" xfId="0" applyFont="1" applyFill="1" applyBorder="1" applyAlignment="1">
      <alignment horizontal="center" vertical="center" wrapText="1"/>
    </xf>
    <xf fontId="21" fillId="33" borderId="0" numFmtId="1" xfId="0" applyNumberFormat="1" applyFont="1" applyFill="1" applyAlignment="1">
      <alignment horizontal="center"/>
    </xf>
    <xf fontId="21" fillId="34" borderId="10" numFmtId="166" xfId="0" applyNumberFormat="1" applyFont="1" applyFill="1" applyBorder="1"/>
    <xf fontId="21" fillId="34" borderId="0" numFmtId="1" xfId="0" applyNumberFormat="1" applyFont="1" applyFill="1" applyAlignment="1">
      <alignment horizontal="center"/>
    </xf>
    <xf fontId="7" fillId="33" borderId="10" numFmtId="0" xfId="0" applyFont="1" applyFill="1" applyBorder="1" applyAlignment="1">
      <alignment horizontal="center" vertical="center"/>
    </xf>
    <xf fontId="22" fillId="33" borderId="16" numFmtId="164" xfId="0" applyNumberFormat="1" applyFont="1" applyFill="1" applyBorder="1" applyAlignment="1">
      <alignment horizontal="center" vertical="center" wrapText="1"/>
    </xf>
    <xf fontId="22" fillId="33" borderId="24" numFmtId="164" xfId="0" applyNumberFormat="1" applyFont="1" applyFill="1" applyBorder="1" applyAlignment="1">
      <alignment horizontal="center" vertical="center" wrapText="1"/>
    </xf>
    <xf fontId="22" fillId="33" borderId="20" numFmtId="164" xfId="0" applyNumberFormat="1" applyFont="1" applyFill="1" applyBorder="1" applyAlignment="1">
      <alignment horizontal="center" vertical="center" wrapText="1"/>
    </xf>
    <xf fontId="0" fillId="33" borderId="11" numFmtId="0" xfId="0" applyFill="1" applyBorder="1" applyAlignment="1">
      <alignment horizontal="center" vertical="center"/>
    </xf>
    <xf fontId="0" fillId="33" borderId="12" numFmtId="0" xfId="0" applyFill="1" applyBorder="1" applyAlignment="1">
      <alignment horizontal="center" vertical="center"/>
    </xf>
    <xf fontId="22" fillId="33" borderId="12" numFmtId="0" xfId="0" applyFont="1" applyFill="1" applyBorder="1" applyAlignment="1">
      <alignment vertical="center" wrapText="1"/>
    </xf>
    <xf fontId="22" fillId="33" borderId="13" numFmtId="0" xfId="0" applyFont="1" applyFill="1" applyBorder="1" applyAlignment="1">
      <alignment vertical="center" wrapText="1"/>
    </xf>
    <xf fontId="0" fillId="33" borderId="0" numFmtId="0" xfId="0" applyFill="1" applyAlignment="1">
      <alignment vertical="center"/>
    </xf>
    <xf fontId="21" fillId="33" borderId="0" numFmtId="0" xfId="0" applyFont="1" applyFill="1" applyAlignment="1">
      <alignment vertical="center"/>
    </xf>
    <xf fontId="27" fillId="33" borderId="10" numFmtId="0" xfId="0" applyFont="1" applyFill="1" applyBorder="1" applyAlignment="1">
      <alignment horizontal="left" vertical="center" wrapText="1"/>
    </xf>
    <xf fontId="22" fillId="33" borderId="10" numFmtId="0" xfId="0" applyFont="1" applyFill="1" applyBorder="1" applyAlignment="1">
      <alignment horizontal="center" textRotation="90" vertical="center" wrapText="1"/>
    </xf>
    <xf fontId="22" fillId="33" borderId="21" numFmtId="0" xfId="0" applyFont="1" applyFill="1" applyBorder="1" applyAlignment="1">
      <alignment horizontal="center" vertical="center" wrapText="1"/>
    </xf>
    <xf fontId="22" fillId="33" borderId="14" numFmtId="0" xfId="0" applyFont="1" applyFill="1" applyBorder="1" applyAlignment="1">
      <alignment horizontal="center" vertical="center" wrapText="1"/>
    </xf>
    <xf fontId="22" fillId="33" borderId="22" numFmtId="0" xfId="0" applyFont="1" applyFill="1" applyBorder="1" applyAlignment="1">
      <alignment horizontal="center" vertical="center" wrapText="1"/>
    </xf>
    <xf fontId="22" fillId="33" borderId="17" numFmtId="0" xfId="0" applyFont="1" applyFill="1" applyBorder="1" applyAlignment="1">
      <alignment horizontal="center" vertical="center" wrapText="1"/>
    </xf>
    <xf fontId="22" fillId="33" borderId="23" numFmtId="0" xfId="0" applyFont="1" applyFill="1" applyBorder="1" applyAlignment="1">
      <alignment horizontal="center" vertical="center" wrapText="1"/>
    </xf>
    <xf fontId="22" fillId="33" borderId="19" numFmtId="0" xfId="0" applyFont="1" applyFill="1" applyBorder="1" applyAlignment="1">
      <alignment horizontal="center" vertical="center" wrapText="1"/>
    </xf>
    <xf fontId="21" fillId="33" borderId="10" numFmtId="164" xfId="0" applyNumberFormat="1" applyFont="1" applyFill="1" applyBorder="1"/>
    <xf fontId="22" fillId="0" borderId="10" numFmtId="164" xfId="0" applyNumberFormat="1" applyFont="1" applyBorder="1" applyAlignment="1">
      <alignment horizontal="center" vertical="center" wrapText="1"/>
    </xf>
    <xf fontId="7" fillId="33" borderId="11" numFmtId="0" xfId="0" applyFont="1" applyFill="1" applyBorder="1" applyAlignment="1">
      <alignment horizontal="center" vertical="center"/>
    </xf>
    <xf fontId="7" fillId="33" borderId="12" numFmtId="0" xfId="0" applyFont="1" applyFill="1" applyBorder="1" applyAlignment="1">
      <alignment horizontal="center" vertical="center"/>
    </xf>
    <xf fontId="7" fillId="33" borderId="13" numFmtId="0" xfId="0" applyFont="1" applyFill="1" applyBorder="1" applyAlignment="1">
      <alignment horizontal="center" vertical="center"/>
    </xf>
    <xf fontId="22" fillId="33" borderId="12" numFmtId="0" xfId="0" applyFont="1" applyFill="1" applyBorder="1" applyAlignment="1">
      <alignment textRotation="90" vertical="center" wrapText="1"/>
    </xf>
    <xf fontId="21" fillId="33" borderId="10" numFmtId="0" xfId="0" applyFont="1" applyFill="1" applyBorder="1"/>
    <xf fontId="21" fillId="33" borderId="10" numFmtId="1" xfId="0" applyNumberFormat="1" applyFont="1" applyFill="1" applyBorder="1"/>
    <xf fontId="21" fillId="33" borderId="10" numFmtId="1" xfId="0" applyNumberFormat="1" applyFont="1" applyFill="1" applyBorder="1" applyAlignment="1">
      <alignment horizontal="center"/>
    </xf>
    <xf fontId="22" fillId="34" borderId="12" numFmtId="0" xfId="0" applyFont="1" applyFill="1" applyBorder="1" applyAlignment="1">
      <alignment textRotation="90" vertical="center" wrapText="1"/>
    </xf>
    <xf fontId="21" fillId="34" borderId="10" numFmtId="1" xfId="0" applyNumberFormat="1" applyFont="1" applyFill="1" applyBorder="1"/>
    <xf fontId="21" fillId="34" borderId="10" numFmtId="1" xfId="0" applyNumberFormat="1" applyFont="1" applyFill="1" applyBorder="1" applyAlignment="1">
      <alignment horizontal="center"/>
    </xf>
    <xf fontId="22" fillId="33" borderId="13" numFmtId="0" xfId="0" applyFont="1" applyFill="1" applyBorder="1" applyAlignment="1">
      <alignment textRotation="90" vertical="center" wrapText="1"/>
    </xf>
    <xf fontId="21" fillId="33" borderId="11" numFmtId="0" xfId="0" applyFont="1" applyFill="1" applyBorder="1" applyAlignment="1">
      <alignment horizontal="center" vertical="center"/>
    </xf>
    <xf fontId="21" fillId="33" borderId="12" numFmtId="0" xfId="0" applyFont="1" applyFill="1" applyBorder="1" applyAlignment="1">
      <alignment horizontal="center" vertical="center"/>
    </xf>
    <xf fontId="21" fillId="33" borderId="13" numFmtId="0" xfId="0" applyFont="1" applyFill="1" applyBorder="1" applyAlignment="1">
      <alignment horizontal="center" vertical="center"/>
    </xf>
    <xf fontId="0" fillId="33" borderId="10" numFmtId="164" xfId="0" applyNumberFormat="1" applyFill="1" applyBorder="1" applyAlignment="1">
      <alignment horizontal="center" vertical="center"/>
    </xf>
    <xf fontId="0" fillId="33" borderId="0" numFmtId="0" xfId="0" applyFill="1" applyAlignment="1">
      <alignment wrapText="1"/>
    </xf>
    <xf fontId="0" fillId="33" borderId="0" numFmtId="0" xfId="0" applyFill="1" applyAlignment="1">
      <alignment horizontal="left" wrapText="1"/>
    </xf>
    <xf fontId="0" fillId="33" borderId="0" numFmtId="0" xfId="0" applyFill="1" applyAlignment="1">
      <alignment horizontal="center" vertical="center" wrapText="1"/>
    </xf>
    <xf fontId="21" fillId="33" borderId="0" numFmtId="0" xfId="0" applyFont="1" applyFill="1" applyAlignment="1">
      <alignment horizontal="center" vertical="center" wrapText="1"/>
    </xf>
    <xf fontId="0" fillId="33" borderId="0" numFmtId="164" xfId="0" applyNumberFormat="1" applyFill="1" applyAlignment="1">
      <alignment horizontal="center" vertical="center"/>
    </xf>
    <xf fontId="0" fillId="34" borderId="0" numFmtId="0" xfId="0" applyFill="1" applyAlignment="1">
      <alignment horizontal="center" vertical="center"/>
    </xf>
  </cellXfs>
  <cellStyles count="49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ткрывавшаяся гиперссылка" xfId="39" builtinId="9"/>
    <cellStyle name="Плохой" xfId="40" builtinId="27"/>
    <cellStyle name="Пояснение" xfId="41" builtinId="53"/>
    <cellStyle name="Примечание" xfId="42" builtinId="10"/>
    <cellStyle name="Процентный" xfId="43" builtinId="5"/>
    <cellStyle name="Связанная ячейка" xfId="44" builtinId="24"/>
    <cellStyle name="Текст предупреждения" xfId="45" builtinId="11"/>
    <cellStyle name="Финансовый" xfId="46" builtinId="3"/>
    <cellStyle name="Финансовый [0]" xfId="47" builtinId="6"/>
    <cellStyle name="Хороший" xfId="4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hatalina" id="{E39CAD8E-479D-B7ED-5A17-2F8E99CAAD9E}"/>
  <person displayName="Володина Лидия Михайловна" id="{F888E524-FC02-B6BC-76B9-1C0CADBEC8AC}"/>
  <person displayName="Шаталина Татьяна Евгеньевна" id="{1DEB02B8-46AC-FA0F-B494-1F555D867B7E}"/>
</personList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67" personId="{F888E524-FC02-B6BC-76B9-1C0CADBEC8AC}" id="{00190093-005A-42FB-BA7C-00E400F60012}" done="0">
    <text xml:space="preserve">Софинансирование, подали заявку.
</text>
  </threadedComment>
  <threadedComment ref="J333" personId="{1DEB02B8-46AC-FA0F-B494-1F555D867B7E}" id="{00C6008D-00AF-4960-8B77-00B2005F00C3}" done="0">
    <text xml:space="preserve">890 фнр к дню победы
</text>
  </threadedComment>
  <threadedComment ref="I184" personId="{F888E524-FC02-B6BC-76B9-1C0CADBEC8AC}" id="{005200B8-0074-473B-8F16-005A00400028}" done="0">
    <text xml:space="preserve">Для софинансирования 418,0
</text>
  </threadedComment>
  <threadedComment ref="M184" personId="{F888E524-FC02-B6BC-76B9-1C0CADBEC8AC}" id="{0059000B-0083-4FC5-B8C7-008E003500E3}" done="0">
    <text xml:space="preserve">Софинансирование, заявку подали.
</text>
  </threadedComment>
  <threadedComment ref="O68" personId="{E39CAD8E-479D-B7ED-5A17-2F8E99CAAD9E}" id="{007B00D2-0097-4DE8-AEBB-0012007B0009}" done="0">
    <text xml:space="preserve">c ост. на нач года
</text>
  </threadedComment>
</ThreadedComments>
</file>

<file path=xl/worksheets/_rels/sheet1.xml.rels><?xml version="1.0" encoding="UTF-8" standalone="yes"?><Relationships xmlns="http://schemas.openxmlformats.org/package/2006/relationships"><Relationship  Id="rId3" Type="http://schemas.openxmlformats.org/officeDocument/2006/relationships/vmlDrawing" Target="../drawings/vmlDrawing1.vml"/><Relationship  Id="rId2" Type="http://schemas.openxmlformats.org/officeDocument/2006/relationships/comments" Target="../comments1.xml"/><Relationship  Id="rId1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D1" zoomScale="100" workbookViewId="0">
      <selection activeCell="I396" activeCellId="0" sqref="I396:J396"/>
    </sheetView>
  </sheetViews>
  <sheetFormatPr baseColWidth="8" defaultRowHeight="15.75" customHeight="1"/>
  <cols>
    <col customWidth="1" min="1" max="1" style="1" width="3.875"/>
    <col customWidth="1" min="2" max="2" style="2" width="16.5"/>
    <col customWidth="1" min="3" max="3" style="3" width="18.125"/>
    <col customWidth="1" min="4" max="4" style="3" width="5.25"/>
    <col customWidth="1" min="5" max="5" style="3" width="9.625"/>
    <col bestFit="1" customWidth="1" min="6" max="6" style="3" width="13.125"/>
    <col customWidth="1" min="7" max="7" style="4" width="11.5"/>
    <col customWidth="1" min="8" max="8" style="4" width="11.25"/>
    <col customWidth="1" min="9" max="9" style="3" width="11"/>
    <col customWidth="1" min="10" max="11" style="3" width="11.75"/>
    <col customWidth="1" min="12" max="12" style="3" width="7.75"/>
    <col customWidth="1" min="13" max="13" style="3" width="10.75"/>
    <col customWidth="1" min="14" max="15" style="3" width="9.875"/>
    <col bestFit="1" customWidth="1" min="16" max="16" style="3" width="8"/>
    <col customWidth="1" min="17" max="17" style="5" width="9.875"/>
    <col customWidth="1" hidden="1" min="18" max="18" style="1" width="8"/>
    <col customWidth="1" hidden="1" min="19" max="19" style="1" width="13.875"/>
    <col customWidth="1" hidden="1" min="20" max="20" style="1" width="10.5"/>
    <col customWidth="1" hidden="1" min="21" max="21" style="1" width="12.75"/>
    <col customWidth="1" hidden="1" min="22" max="22" style="1" width="19.125"/>
    <col customWidth="1" hidden="1" min="23" max="29" style="1" width="19.25"/>
    <col bestFit="1" customWidth="1" min="30" max="30" style="1" width="10.125"/>
    <col hidden="1" min="31" max="31" style="1" width="0"/>
    <col bestFit="1" customWidth="1" min="32" max="32" style="1" width="10.125"/>
    <col bestFit="1" customWidth="1" min="33" max="33" style="1" width="9.75"/>
    <col bestFit="1" customWidth="1" min="34" max="34" style="1" width="9.125"/>
    <col customWidth="1" min="35" max="257" style="1" width="9"/>
  </cols>
  <sheetData>
    <row r="1" ht="57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21.75" customHeight="1">
      <c r="A2" s="8"/>
      <c r="B2" s="2"/>
      <c r="C2" s="3"/>
      <c r="D2" s="3"/>
      <c r="E2" s="3"/>
      <c r="F2" s="3"/>
      <c r="G2" s="4"/>
      <c r="H2" s="4"/>
      <c r="I2" s="3"/>
      <c r="J2" s="3"/>
      <c r="K2" s="3"/>
      <c r="L2" s="3"/>
      <c r="M2" s="3"/>
      <c r="N2" s="9" t="s">
        <v>1</v>
      </c>
      <c r="O2" s="9"/>
      <c r="P2" s="9"/>
      <c r="Q2" s="9"/>
    </row>
    <row r="3" ht="21.75" customHeight="1">
      <c r="A3" s="8"/>
      <c r="N3" s="9"/>
      <c r="O3" s="9"/>
      <c r="P3" s="9"/>
      <c r="Q3" s="9"/>
    </row>
    <row r="4" ht="21.75" customHeight="1">
      <c r="A4" s="8"/>
      <c r="N4" s="9"/>
      <c r="O4" s="9"/>
      <c r="P4" s="9"/>
      <c r="Q4" s="9"/>
    </row>
    <row r="5" ht="21.75" customHeight="1">
      <c r="A5" s="8"/>
      <c r="N5" s="9"/>
      <c r="O5" s="9"/>
      <c r="P5" s="9"/>
      <c r="Q5" s="9"/>
    </row>
    <row r="6" ht="15.75">
      <c r="A6" s="10"/>
    </row>
    <row r="7" ht="15.75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ht="15.75">
      <c r="A8" s="10"/>
    </row>
    <row r="9" ht="15.75" hidden="1">
      <c r="A9" s="10"/>
    </row>
    <row r="10" ht="15.75">
      <c r="A10" s="10"/>
    </row>
    <row r="11" ht="15.75">
      <c r="A11" s="11" t="s">
        <v>3</v>
      </c>
      <c r="B11" s="12" t="s">
        <v>4</v>
      </c>
      <c r="C11" s="12" t="s">
        <v>5</v>
      </c>
      <c r="D11" s="12" t="s">
        <v>6</v>
      </c>
      <c r="E11" s="12" t="s">
        <v>7</v>
      </c>
      <c r="F11" s="11" t="s">
        <v>8</v>
      </c>
      <c r="G11" s="13" t="s">
        <v>9</v>
      </c>
      <c r="H11" s="13"/>
      <c r="I11" s="11" t="s">
        <v>10</v>
      </c>
      <c r="J11" s="11"/>
      <c r="K11" s="11"/>
      <c r="L11" s="11"/>
      <c r="M11" s="11"/>
      <c r="N11" s="11"/>
      <c r="O11" s="11"/>
      <c r="P11" s="11"/>
      <c r="Q11" s="11" t="s">
        <v>11</v>
      </c>
    </row>
    <row r="12" ht="95.25" customHeight="1">
      <c r="A12" s="11"/>
      <c r="B12" s="14"/>
      <c r="C12" s="14"/>
      <c r="D12" s="14"/>
      <c r="E12" s="14"/>
      <c r="F12" s="11"/>
      <c r="G12" s="13"/>
      <c r="H12" s="13"/>
      <c r="I12" s="11" t="s">
        <v>12</v>
      </c>
      <c r="J12" s="11"/>
      <c r="K12" s="11" t="s">
        <v>13</v>
      </c>
      <c r="L12" s="11"/>
      <c r="M12" s="11" t="s">
        <v>14</v>
      </c>
      <c r="N12" s="11"/>
      <c r="O12" s="11" t="s">
        <v>15</v>
      </c>
      <c r="P12" s="11"/>
      <c r="Q12" s="11"/>
      <c r="R12" s="15"/>
    </row>
    <row r="13" ht="91.900000000000006" customHeight="1">
      <c r="A13" s="11"/>
      <c r="B13" s="16"/>
      <c r="C13" s="16"/>
      <c r="D13" s="16"/>
      <c r="E13" s="16"/>
      <c r="F13" s="11"/>
      <c r="G13" s="11" t="s">
        <v>16</v>
      </c>
      <c r="H13" s="11" t="s">
        <v>17</v>
      </c>
      <c r="I13" s="11" t="s">
        <v>16</v>
      </c>
      <c r="J13" s="11" t="s">
        <v>17</v>
      </c>
      <c r="K13" s="11" t="s">
        <v>16</v>
      </c>
      <c r="L13" s="11" t="s">
        <v>17</v>
      </c>
      <c r="M13" s="11" t="s">
        <v>16</v>
      </c>
      <c r="N13" s="11" t="s">
        <v>17</v>
      </c>
      <c r="O13" s="11" t="s">
        <v>16</v>
      </c>
      <c r="P13" s="11" t="s">
        <v>18</v>
      </c>
      <c r="Q13" s="11"/>
      <c r="R13" s="15"/>
    </row>
    <row r="14" s="8" customFormat="1" ht="45" customHeight="1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7"/>
    </row>
    <row r="15" s="3" customFormat="1">
      <c r="A15" s="18" t="s">
        <v>19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</row>
    <row r="16" ht="19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5"/>
    </row>
    <row r="17" ht="16.5" hidden="1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5"/>
    </row>
    <row r="18" s="20" customFormat="1" ht="16.5" customHeight="1">
      <c r="A18" s="21"/>
      <c r="B18" s="22" t="s">
        <v>20</v>
      </c>
      <c r="C18" s="4"/>
      <c r="D18" s="4"/>
      <c r="E18" s="4"/>
      <c r="F18" s="13" t="s">
        <v>21</v>
      </c>
      <c r="G18" s="23">
        <f>SUM(G19:G29)</f>
        <v>3709293.466</v>
      </c>
      <c r="H18" s="23">
        <f>SUM(H19:H29)</f>
        <v>2927552.0260000001</v>
      </c>
      <c r="I18" s="23">
        <f>SUM(I19:I29)</f>
        <v>2393333.9699999997</v>
      </c>
      <c r="J18" s="23">
        <f>SUM(J19:J29)</f>
        <v>2011179.0500000003</v>
      </c>
      <c r="K18" s="23">
        <f>SUM(K19:K29)</f>
        <v>3525.2000000000003</v>
      </c>
      <c r="L18" s="23">
        <f>SUM(L19:L29)</f>
        <v>1367.4000000000001</v>
      </c>
      <c r="M18" s="23">
        <f>SUM(M19:M29)</f>
        <v>948673.79599999986</v>
      </c>
      <c r="N18" s="23">
        <f>SUM(N19:N29)</f>
        <v>580079.77599999984</v>
      </c>
      <c r="O18" s="23">
        <f>SUM(O19:O29)</f>
        <v>363760.50000000006</v>
      </c>
      <c r="P18" s="23">
        <f>SUM(P19:P29)</f>
        <v>334925.80000000005</v>
      </c>
      <c r="Q18" s="24" t="s">
        <v>22</v>
      </c>
      <c r="R18" s="25"/>
    </row>
    <row r="19" s="26" customFormat="1" ht="57" customHeight="1">
      <c r="A19" s="27"/>
      <c r="B19" s="28"/>
      <c r="F19" s="22" t="s">
        <v>23</v>
      </c>
      <c r="G19" s="29">
        <f t="shared" ref="G19:G29" si="0">I19+K19+M19+O19</f>
        <v>243155.5</v>
      </c>
      <c r="H19" s="29">
        <f t="shared" ref="H19:H29" si="1">J19+L19+N19+P19</f>
        <v>207312.20000000001</v>
      </c>
      <c r="I19" s="29">
        <f>I55+I117+I248</f>
        <v>170316.79999999999</v>
      </c>
      <c r="J19" s="29">
        <f>J55+J117+J248</f>
        <v>138477.5</v>
      </c>
      <c r="K19" s="29">
        <f>K55+K117+K248</f>
        <v>725</v>
      </c>
      <c r="L19" s="29">
        <f>L55+L117+L248</f>
        <v>0</v>
      </c>
      <c r="M19" s="29">
        <f>M55+M117+M248</f>
        <v>42070</v>
      </c>
      <c r="N19" s="29">
        <f>N55+N117+N248</f>
        <v>38791</v>
      </c>
      <c r="O19" s="29">
        <f>O55+O117+O248</f>
        <v>30043.699999999997</v>
      </c>
      <c r="P19" s="29">
        <f>P55+P117+P248</f>
        <v>30043.699999999997</v>
      </c>
      <c r="Q19" s="30"/>
      <c r="R19" s="31"/>
      <c r="AH19" s="32"/>
    </row>
    <row r="20" s="33" customFormat="1" ht="81" customHeight="1">
      <c r="A20" s="27"/>
      <c r="B20" s="28"/>
      <c r="C20" s="34" t="s">
        <v>24</v>
      </c>
      <c r="D20" s="22"/>
      <c r="E20" s="22"/>
      <c r="F20" s="13" t="s">
        <v>25</v>
      </c>
      <c r="G20" s="23">
        <f t="shared" si="0"/>
        <v>234210.14999999997</v>
      </c>
      <c r="H20" s="23">
        <f t="shared" si="1"/>
        <v>219554.23999999999</v>
      </c>
      <c r="I20" s="23">
        <f>I56+I118+I249</f>
        <v>156692.44999999998</v>
      </c>
      <c r="J20" s="23">
        <f>J56+J118+J249</f>
        <v>146006.53999999998</v>
      </c>
      <c r="K20" s="23">
        <f>K56+K118+K249</f>
        <v>797.5</v>
      </c>
      <c r="L20" s="23">
        <f>L56+L118+L249</f>
        <v>0</v>
      </c>
      <c r="M20" s="23">
        <f>M56+M118+M249</f>
        <v>40827.400000000001</v>
      </c>
      <c r="N20" s="23">
        <f>N56+N118+N249</f>
        <v>37654.900000000001</v>
      </c>
      <c r="O20" s="23">
        <f>O56+O118+O249</f>
        <v>35892.800000000003</v>
      </c>
      <c r="P20" s="23">
        <f>P56+P118+P249</f>
        <v>35892.800000000003</v>
      </c>
      <c r="Q20" s="30"/>
      <c r="R20" s="31"/>
    </row>
    <row r="21" s="26" customFormat="1" ht="15.6" customHeight="1">
      <c r="A21" s="27"/>
      <c r="B21" s="28"/>
      <c r="C21" s="34"/>
      <c r="D21" s="28"/>
      <c r="E21" s="28"/>
      <c r="F21" s="13" t="s">
        <v>26</v>
      </c>
      <c r="G21" s="23">
        <f t="shared" si="0"/>
        <v>278338.59600000002</v>
      </c>
      <c r="H21" s="23">
        <f t="shared" si="1"/>
        <v>270093.196</v>
      </c>
      <c r="I21" s="23">
        <f>I57+I119+I250</f>
        <v>164042.5</v>
      </c>
      <c r="J21" s="23">
        <f>J57+J119+J250</f>
        <v>157321.79999999999</v>
      </c>
      <c r="K21" s="23">
        <f>K57+K119+K250</f>
        <v>635.29999999999995</v>
      </c>
      <c r="L21" s="23">
        <f>L57+L119+L250</f>
        <v>0</v>
      </c>
      <c r="M21" s="23">
        <f>M57+M119+M250</f>
        <v>72734.296000000002</v>
      </c>
      <c r="N21" s="23">
        <f>N57+N119+N250</f>
        <v>71844.895999999993</v>
      </c>
      <c r="O21" s="23">
        <f>O57+O119+O250</f>
        <v>40926.5</v>
      </c>
      <c r="P21" s="23">
        <f>P57+P119+P250</f>
        <v>40926.5</v>
      </c>
      <c r="Q21" s="30"/>
      <c r="R21" s="35"/>
      <c r="T21" s="36"/>
      <c r="U21" s="36"/>
      <c r="Y21" s="37"/>
      <c r="Z21" s="37"/>
      <c r="AB21" s="37"/>
    </row>
    <row r="22" s="26" customFormat="1">
      <c r="A22" s="27"/>
      <c r="B22" s="28"/>
      <c r="C22" s="34"/>
      <c r="D22" s="28"/>
      <c r="E22" s="28"/>
      <c r="F22" s="13" t="s">
        <v>27</v>
      </c>
      <c r="G22" s="23">
        <f t="shared" si="0"/>
        <v>312004.59999999998</v>
      </c>
      <c r="H22" s="23">
        <f t="shared" si="1"/>
        <v>299953</v>
      </c>
      <c r="I22" s="23">
        <f>I58+I120+I251+I403</f>
        <v>174340.5</v>
      </c>
      <c r="J22" s="23">
        <f>J58+J120+J251+J403</f>
        <v>162288.90000000002</v>
      </c>
      <c r="K22" s="23">
        <f>K58+K120+K251+K403</f>
        <v>518.5</v>
      </c>
      <c r="L22" s="23">
        <f>L58+L120+L251+L403</f>
        <v>518.5</v>
      </c>
      <c r="M22" s="23">
        <f>M58+M120+M251+M403</f>
        <v>98216.800000000003</v>
      </c>
      <c r="N22" s="23">
        <f>N58+N120+N251+N403</f>
        <v>98216.800000000003</v>
      </c>
      <c r="O22" s="23">
        <f>O58+O120+O251+O403</f>
        <v>38928.800000000003</v>
      </c>
      <c r="P22" s="23">
        <f>P58+P120+P251+P403</f>
        <v>38928.800000000003</v>
      </c>
      <c r="Q22" s="30"/>
      <c r="R22" s="35"/>
      <c r="S22" s="37"/>
      <c r="T22" s="37"/>
      <c r="U22" s="37"/>
      <c r="W22" s="37"/>
      <c r="X22" s="37"/>
      <c r="AC22" s="37"/>
      <c r="AD22" s="37"/>
      <c r="AF22" s="37"/>
      <c r="AG22" s="37"/>
      <c r="AH22" s="32"/>
      <c r="AI22" s="32"/>
    </row>
    <row r="23" s="26" customFormat="1">
      <c r="A23" s="27"/>
      <c r="B23" s="28"/>
      <c r="C23" s="34"/>
      <c r="D23" s="28"/>
      <c r="E23" s="28"/>
      <c r="F23" s="13" t="s">
        <v>28</v>
      </c>
      <c r="G23" s="23">
        <f t="shared" si="0"/>
        <v>315757.40000000002</v>
      </c>
      <c r="H23" s="23">
        <f t="shared" si="1"/>
        <v>309435.20000000001</v>
      </c>
      <c r="I23" s="23">
        <f>I59+I121+I252+I404</f>
        <v>176014.09999999998</v>
      </c>
      <c r="J23" s="23">
        <f>J59+J121+J252+J404</f>
        <v>170764.59999999998</v>
      </c>
      <c r="K23" s="23">
        <f>K59+K121+K252+K404</f>
        <v>0</v>
      </c>
      <c r="L23" s="23">
        <f>L59+L121+L252+L404</f>
        <v>0</v>
      </c>
      <c r="M23" s="23">
        <f>M59+M121+M252+M404</f>
        <v>99397.899999999994</v>
      </c>
      <c r="N23" s="23">
        <f>N59+N121+N252+N404</f>
        <v>98325.199999999997</v>
      </c>
      <c r="O23" s="23">
        <f>O59+O121+O252+O404</f>
        <v>40345.400000000001</v>
      </c>
      <c r="P23" s="23">
        <f>P59+P121+P252+P404</f>
        <v>40345.400000000001</v>
      </c>
      <c r="Q23" s="30"/>
      <c r="R23" s="35"/>
      <c r="S23" s="37"/>
      <c r="T23" s="37"/>
      <c r="U23" s="37"/>
      <c r="W23" s="37"/>
      <c r="X23" s="37"/>
      <c r="Y23" s="32"/>
      <c r="Z23" s="32"/>
      <c r="AA23" s="32"/>
      <c r="AC23" s="37"/>
      <c r="AD23" s="37"/>
      <c r="AH23" s="32"/>
    </row>
    <row r="24" s="26" customFormat="1">
      <c r="A24" s="27"/>
      <c r="B24" s="28"/>
      <c r="C24" s="34"/>
      <c r="D24" s="28"/>
      <c r="E24" s="28"/>
      <c r="F24" s="13" t="s">
        <v>29</v>
      </c>
      <c r="G24" s="23">
        <f t="shared" si="0"/>
        <v>338881.17999999999</v>
      </c>
      <c r="H24" s="23">
        <f t="shared" si="1"/>
        <v>284990.72000000003</v>
      </c>
      <c r="I24" s="23">
        <f>I60+I122+I253+I405</f>
        <v>216555.28</v>
      </c>
      <c r="J24" s="23">
        <f>J60+J122+J253+J405</f>
        <v>190968.82000000001</v>
      </c>
      <c r="K24" s="23">
        <f>K60+K122+K253+K405</f>
        <v>0</v>
      </c>
      <c r="L24" s="23">
        <f>L60+L122+L253+L405</f>
        <v>0</v>
      </c>
      <c r="M24" s="23">
        <f>M60+M122+M253+M405</f>
        <v>98844.700000000012</v>
      </c>
      <c r="N24" s="23">
        <f>N60+N122+N253+N405</f>
        <v>70540.699999999997</v>
      </c>
      <c r="O24" s="23">
        <f>O60+O122+O253+O405</f>
        <v>23481.200000000001</v>
      </c>
      <c r="P24" s="23">
        <f>P60+P122+P253+P405</f>
        <v>23481.200000000001</v>
      </c>
      <c r="Q24" s="30"/>
      <c r="R24" s="35"/>
      <c r="S24" s="37"/>
      <c r="T24" s="37"/>
      <c r="U24" s="37"/>
      <c r="W24" s="37"/>
      <c r="X24" s="37"/>
      <c r="AC24" s="37"/>
      <c r="AD24" s="37"/>
      <c r="AH24" s="32"/>
    </row>
    <row r="25" s="26" customFormat="1">
      <c r="A25" s="27"/>
      <c r="B25" s="28"/>
      <c r="C25" s="34"/>
      <c r="D25" s="28"/>
      <c r="E25" s="28"/>
      <c r="F25" s="13" t="s">
        <v>30</v>
      </c>
      <c r="G25" s="23">
        <f t="shared" si="0"/>
        <v>373161.90000000002</v>
      </c>
      <c r="H25" s="23">
        <f t="shared" si="1"/>
        <v>327302.40000000002</v>
      </c>
      <c r="I25" s="23">
        <f>I61+I123+I254+I406</f>
        <v>238832.5</v>
      </c>
      <c r="J25" s="23">
        <f>J61+J123+J254+J406</f>
        <v>216576.5</v>
      </c>
      <c r="K25" s="23">
        <f>K61+K123+K254+K406</f>
        <v>416</v>
      </c>
      <c r="L25" s="23">
        <f>L61+L123+L254+L406</f>
        <v>416</v>
      </c>
      <c r="M25" s="23">
        <f>M61+M123+M254+M406</f>
        <v>98917.899999999994</v>
      </c>
      <c r="N25" s="23">
        <f>N61+N123+N254+N406</f>
        <v>75314.399999999994</v>
      </c>
      <c r="O25" s="23">
        <f>O61+O123+O254+O406</f>
        <v>34995.5</v>
      </c>
      <c r="P25" s="23">
        <f>P61+P123+P254+P406</f>
        <v>34995.5</v>
      </c>
      <c r="Q25" s="30"/>
      <c r="R25" s="35"/>
      <c r="S25" s="38">
        <f>J25-J358-J370-J382-J394</f>
        <v>205799.80000000002</v>
      </c>
      <c r="T25" s="38">
        <v>202931.10000000001</v>
      </c>
      <c r="U25" s="38">
        <f>T25-S25</f>
        <v>-2868.7000000000116</v>
      </c>
      <c r="W25" s="37"/>
      <c r="X25" s="37"/>
      <c r="AC25" s="37"/>
      <c r="AD25" s="37"/>
      <c r="AH25" s="32"/>
    </row>
    <row r="26" s="39" customFormat="1">
      <c r="A26" s="27"/>
      <c r="B26" s="28"/>
      <c r="C26" s="34"/>
      <c r="D26" s="40"/>
      <c r="E26" s="40"/>
      <c r="F26" s="41" t="s">
        <v>31</v>
      </c>
      <c r="G26" s="42">
        <f t="shared" si="0"/>
        <v>395119.84000000008</v>
      </c>
      <c r="H26" s="42">
        <f t="shared" si="1"/>
        <v>357199.47000000003</v>
      </c>
      <c r="I26" s="42">
        <f>I62+I124+I255+I407</f>
        <v>262628.24000000005</v>
      </c>
      <c r="J26" s="42">
        <f>J62+J124+J255+J407</f>
        <v>239243.59000000003</v>
      </c>
      <c r="K26" s="42">
        <f>K62+K124+K255+K407</f>
        <v>432.89999999999998</v>
      </c>
      <c r="L26" s="42">
        <f>L62+L124+L255+L407</f>
        <v>432.89999999999998</v>
      </c>
      <c r="M26" s="42">
        <f>M62+M124+M255+M407</f>
        <v>99416.200000000012</v>
      </c>
      <c r="N26" s="42">
        <f>N62+N124+N255+N407</f>
        <v>84880.48000000001</v>
      </c>
      <c r="O26" s="42">
        <f>O62+O124+O255+O407</f>
        <v>32642.5</v>
      </c>
      <c r="P26" s="42">
        <f>P62+P124+P255+P407</f>
        <v>32642.5</v>
      </c>
      <c r="Q26" s="30"/>
      <c r="R26" s="43"/>
      <c r="S26" s="44">
        <f>212349.10000000001+26.199999999999999+227.5+7138</f>
        <v>219740.80000000002</v>
      </c>
      <c r="T26" s="44">
        <f>J26-S26</f>
        <v>19502.790000000008</v>
      </c>
      <c r="U26" s="44">
        <f>1994.7+1467.7+1435+2240.5999999999999</f>
        <v>7138</v>
      </c>
      <c r="V26" s="45">
        <f>U26-T26</f>
        <v>-12364.790000000008</v>
      </c>
      <c r="W26" s="45"/>
      <c r="X26" s="45"/>
      <c r="AC26" s="45"/>
      <c r="AD26" s="45"/>
      <c r="AH26" s="46"/>
    </row>
    <row r="27" s="26" customFormat="1">
      <c r="A27" s="27"/>
      <c r="B27" s="28"/>
      <c r="C27" s="34"/>
      <c r="D27" s="28"/>
      <c r="E27" s="28"/>
      <c r="F27" s="13" t="s">
        <v>32</v>
      </c>
      <c r="G27" s="23">
        <f t="shared" si="0"/>
        <v>406156.70000000001</v>
      </c>
      <c r="H27" s="23">
        <f t="shared" si="1"/>
        <v>237948</v>
      </c>
      <c r="I27" s="23">
        <f>I63+I125+I256+I408</f>
        <v>277905.79999999999</v>
      </c>
      <c r="J27" s="23">
        <f>J63+J125+J256+J408</f>
        <v>206857.59999999998</v>
      </c>
      <c r="K27" s="23">
        <f>K63+K125+K256+K408</f>
        <v>0</v>
      </c>
      <c r="L27" s="23">
        <f>L63+L125+L256+L408</f>
        <v>0</v>
      </c>
      <c r="M27" s="23">
        <f>M63+M125+M256+M408</f>
        <v>99416.200000000012</v>
      </c>
      <c r="N27" s="23">
        <f>N63+N125+N256+N408</f>
        <v>2255.6999999999998</v>
      </c>
      <c r="O27" s="23">
        <f>O63+O125+O256+O408</f>
        <v>28834.700000000001</v>
      </c>
      <c r="P27" s="23">
        <f>P63+P125+P256+P408</f>
        <v>28834.700000000001</v>
      </c>
      <c r="Q27" s="30"/>
      <c r="R27" s="35"/>
      <c r="S27" s="38">
        <f t="shared" ref="S27:S28" si="2">J27-J360-J372-J384-J396</f>
        <v>199825.59999999995</v>
      </c>
      <c r="T27" s="38">
        <v>199627.60000000001</v>
      </c>
      <c r="U27" s="38">
        <f t="shared" ref="U27:U28" si="3">T27-S27</f>
        <v>-197.99999999994179</v>
      </c>
      <c r="V27" s="26"/>
      <c r="W27" s="37"/>
      <c r="X27" s="37"/>
      <c r="AC27" s="37"/>
      <c r="AD27" s="37"/>
      <c r="AH27" s="32"/>
    </row>
    <row r="28" s="26" customFormat="1">
      <c r="A28" s="27"/>
      <c r="B28" s="28"/>
      <c r="C28" s="34"/>
      <c r="D28" s="28"/>
      <c r="E28" s="28"/>
      <c r="F28" s="13" t="s">
        <v>33</v>
      </c>
      <c r="G28" s="23">
        <f t="shared" si="0"/>
        <v>406253.80000000005</v>
      </c>
      <c r="H28" s="23">
        <f t="shared" si="1"/>
        <v>237948</v>
      </c>
      <c r="I28" s="23">
        <f>I64+I126+I257+I409</f>
        <v>278002.90000000002</v>
      </c>
      <c r="J28" s="23">
        <f>J64+J126+J257+J409</f>
        <v>206857.59999999998</v>
      </c>
      <c r="K28" s="23">
        <f>K64+K126+K257+K409</f>
        <v>0</v>
      </c>
      <c r="L28" s="23">
        <f>L64+L126+L257+L409</f>
        <v>0</v>
      </c>
      <c r="M28" s="23">
        <f>M64+M126+M257+M409</f>
        <v>99416.200000000012</v>
      </c>
      <c r="N28" s="23">
        <f>N64+N126+N257+N409</f>
        <v>2255.6999999999998</v>
      </c>
      <c r="O28" s="23">
        <f>O64+O126+O257+O409</f>
        <v>28834.700000000001</v>
      </c>
      <c r="P28" s="23">
        <f>P64+P126+P257+P409</f>
        <v>28834.700000000001</v>
      </c>
      <c r="Q28" s="30"/>
      <c r="R28" s="35"/>
      <c r="S28" s="38">
        <f t="shared" si="2"/>
        <v>199825.59999999995</v>
      </c>
      <c r="T28" s="38">
        <v>199627.60000000001</v>
      </c>
      <c r="U28" s="38">
        <f t="shared" si="3"/>
        <v>-197.99999999994179</v>
      </c>
      <c r="W28" s="37"/>
      <c r="X28" s="37"/>
      <c r="AC28" s="37"/>
      <c r="AD28" s="37"/>
      <c r="AH28" s="32"/>
    </row>
    <row r="29" s="47" customFormat="1">
      <c r="A29" s="48"/>
      <c r="B29" s="49"/>
      <c r="C29" s="34"/>
      <c r="D29" s="49"/>
      <c r="E29" s="49"/>
      <c r="F29" s="13" t="s">
        <v>34</v>
      </c>
      <c r="G29" s="23">
        <f t="shared" si="0"/>
        <v>406253.80000000005</v>
      </c>
      <c r="H29" s="23">
        <f t="shared" si="1"/>
        <v>175815.59999999998</v>
      </c>
      <c r="I29" s="23">
        <f>I65+I127+I258+I410</f>
        <v>278002.90000000002</v>
      </c>
      <c r="J29" s="23">
        <f>J65+J127+J258+J410</f>
        <v>175815.59999999998</v>
      </c>
      <c r="K29" s="23">
        <f>K65+K127+K258+K410</f>
        <v>0</v>
      </c>
      <c r="L29" s="23">
        <f>L65+L127+L258+L410</f>
        <v>0</v>
      </c>
      <c r="M29" s="23">
        <f>M65+M127+M258+M410</f>
        <v>99416.200000000012</v>
      </c>
      <c r="N29" s="23">
        <f>N65+N127+N258+N410</f>
        <v>0</v>
      </c>
      <c r="O29" s="23">
        <f>O65+O127+O258+O410</f>
        <v>28834.700000000001</v>
      </c>
      <c r="P29" s="23">
        <f>P65+P127+P258+P410</f>
        <v>0</v>
      </c>
      <c r="Q29" s="50"/>
      <c r="R29" s="51"/>
      <c r="S29" s="52"/>
      <c r="T29" s="52"/>
      <c r="U29" s="52"/>
      <c r="AC29" s="52"/>
      <c r="AD29" s="52"/>
      <c r="AI29" s="53"/>
    </row>
    <row r="30" s="26" customFormat="1" ht="13.15" customHeight="1">
      <c r="A30" s="21"/>
      <c r="B30" s="22" t="s">
        <v>35</v>
      </c>
      <c r="C30" s="4"/>
      <c r="D30" s="4"/>
      <c r="E30" s="4"/>
      <c r="F30" s="49" t="s">
        <v>21</v>
      </c>
      <c r="G30" s="54">
        <f>SUM(G31:G41)</f>
        <v>2588670.54</v>
      </c>
      <c r="H30" s="54">
        <f>SUM(H31:H41)</f>
        <v>2212506.6000000001</v>
      </c>
      <c r="I30" s="54">
        <f>SUM(I31:I41)</f>
        <v>1645296.4399999999</v>
      </c>
      <c r="J30" s="54">
        <f>SUM(J31:J41)</f>
        <v>1493706.2999999998</v>
      </c>
      <c r="K30" s="54">
        <f>SUM(K31:K41)</f>
        <v>7627.1000000000004</v>
      </c>
      <c r="L30" s="54">
        <f>SUM(L31:L41)</f>
        <v>127.09999999999999</v>
      </c>
      <c r="M30" s="54">
        <f>SUM(M31:M41)</f>
        <v>477868.29999999993</v>
      </c>
      <c r="N30" s="54">
        <f>SUM(N31:N41)</f>
        <v>296392.60000000003</v>
      </c>
      <c r="O30" s="54">
        <f>SUM(O31:O41)</f>
        <v>457878.69999999995</v>
      </c>
      <c r="P30" s="54">
        <f>SUM(P31:P41)</f>
        <v>422280.59999999998</v>
      </c>
      <c r="Q30" s="55" t="s">
        <v>36</v>
      </c>
      <c r="R30" s="35"/>
      <c r="T30" s="37"/>
      <c r="U30" s="37"/>
      <c r="AC30" s="37"/>
    </row>
    <row r="31" s="26" customFormat="1" ht="24" customHeight="1">
      <c r="A31" s="27"/>
      <c r="B31" s="28"/>
      <c r="F31" s="13" t="s">
        <v>23</v>
      </c>
      <c r="G31" s="23">
        <f t="shared" ref="G31:G41" si="4">I31+K31+M31+O31</f>
        <v>180341.60000000001</v>
      </c>
      <c r="H31" s="23">
        <f t="shared" ref="H31:H41" si="5">J31+L31+N31+P31</f>
        <v>162018.30000000002</v>
      </c>
      <c r="I31" s="23">
        <f>I160</f>
        <v>116756.20000000001</v>
      </c>
      <c r="J31" s="23">
        <f>J160</f>
        <v>104347.90000000001</v>
      </c>
      <c r="K31" s="23">
        <f>K160</f>
        <v>2500</v>
      </c>
      <c r="L31" s="23">
        <f>L160</f>
        <v>0</v>
      </c>
      <c r="M31" s="23">
        <f>M160</f>
        <v>27766.900000000001</v>
      </c>
      <c r="N31" s="23">
        <f>N160</f>
        <v>24351.900000000001</v>
      </c>
      <c r="O31" s="23">
        <f>O160</f>
        <v>33318.5</v>
      </c>
      <c r="P31" s="23">
        <f>P160</f>
        <v>33318.5</v>
      </c>
      <c r="Q31" s="55"/>
      <c r="R31" s="31"/>
    </row>
    <row r="32" s="26" customFormat="1" ht="23.449999999999999" customHeight="1">
      <c r="A32" s="27"/>
      <c r="B32" s="28"/>
      <c r="C32" s="13" t="s">
        <v>37</v>
      </c>
      <c r="D32" s="22"/>
      <c r="E32" s="22"/>
      <c r="F32" s="13" t="s">
        <v>25</v>
      </c>
      <c r="G32" s="23">
        <f t="shared" si="4"/>
        <v>181324.73999999999</v>
      </c>
      <c r="H32" s="23">
        <f t="shared" si="5"/>
        <v>173599.79999999999</v>
      </c>
      <c r="I32" s="23">
        <f>I161</f>
        <v>111578.54000000001</v>
      </c>
      <c r="J32" s="23">
        <f>J161</f>
        <v>109904.60000000001</v>
      </c>
      <c r="K32" s="23">
        <f>K161</f>
        <v>2500</v>
      </c>
      <c r="L32" s="23">
        <f>L161</f>
        <v>0</v>
      </c>
      <c r="M32" s="23">
        <f>M161</f>
        <v>28121.900000000001</v>
      </c>
      <c r="N32" s="23">
        <f>N161</f>
        <v>24570.900000000001</v>
      </c>
      <c r="O32" s="23">
        <f>O161</f>
        <v>39124.300000000003</v>
      </c>
      <c r="P32" s="23">
        <f>P161</f>
        <v>39124.300000000003</v>
      </c>
      <c r="Q32" s="55"/>
      <c r="R32" s="35"/>
    </row>
    <row r="33" s="26" customFormat="1" ht="13.15" customHeight="1">
      <c r="A33" s="27"/>
      <c r="B33" s="28"/>
      <c r="C33" s="13"/>
      <c r="D33" s="28"/>
      <c r="E33" s="28"/>
      <c r="F33" s="13" t="s">
        <v>26</v>
      </c>
      <c r="G33" s="23">
        <f t="shared" si="4"/>
        <v>197720.5</v>
      </c>
      <c r="H33" s="23">
        <f t="shared" si="5"/>
        <v>188559.5</v>
      </c>
      <c r="I33" s="23">
        <f>I162</f>
        <v>113801.60000000001</v>
      </c>
      <c r="J33" s="23">
        <f>J162</f>
        <v>110275.60000000001</v>
      </c>
      <c r="K33" s="23">
        <f>K162</f>
        <v>2500</v>
      </c>
      <c r="L33" s="23">
        <f>L162</f>
        <v>0</v>
      </c>
      <c r="M33" s="23">
        <f>M162</f>
        <v>40223.799999999996</v>
      </c>
      <c r="N33" s="23">
        <f>N162</f>
        <v>37088.799999999996</v>
      </c>
      <c r="O33" s="23">
        <f>O162</f>
        <v>41195.099999999999</v>
      </c>
      <c r="P33" s="23">
        <f>P162</f>
        <v>41195.099999999999</v>
      </c>
      <c r="Q33" s="55"/>
      <c r="R33" s="35"/>
    </row>
    <row r="34" s="26" customFormat="1" ht="19.149999999999999" customHeight="1">
      <c r="A34" s="27"/>
      <c r="B34" s="28"/>
      <c r="C34" s="13"/>
      <c r="D34" s="28"/>
      <c r="E34" s="28"/>
      <c r="F34" s="13" t="s">
        <v>27</v>
      </c>
      <c r="G34" s="23">
        <f t="shared" si="4"/>
        <v>221087.60000000001</v>
      </c>
      <c r="H34" s="23">
        <f t="shared" si="5"/>
        <v>217736.5</v>
      </c>
      <c r="I34" s="23">
        <f>I163</f>
        <v>127114.89999999999</v>
      </c>
      <c r="J34" s="23">
        <f>J163</f>
        <v>123763.8</v>
      </c>
      <c r="K34" s="23">
        <f>K163</f>
        <v>127.09999999999999</v>
      </c>
      <c r="L34" s="23">
        <f>L163</f>
        <v>127.09999999999999</v>
      </c>
      <c r="M34" s="23">
        <f>M163</f>
        <v>47521.100000000006</v>
      </c>
      <c r="N34" s="23">
        <f>N163</f>
        <v>47521.100000000006</v>
      </c>
      <c r="O34" s="23">
        <f>O163</f>
        <v>46324.5</v>
      </c>
      <c r="P34" s="23">
        <f>P163</f>
        <v>46324.5</v>
      </c>
      <c r="Q34" s="55"/>
      <c r="R34" s="35"/>
    </row>
    <row r="35" s="26" customFormat="1">
      <c r="A35" s="27"/>
      <c r="B35" s="28"/>
      <c r="C35" s="13"/>
      <c r="D35" s="28"/>
      <c r="E35" s="28"/>
      <c r="F35" s="13" t="s">
        <v>28</v>
      </c>
      <c r="G35" s="23">
        <f t="shared" si="4"/>
        <v>228198.60000000001</v>
      </c>
      <c r="H35" s="23">
        <f t="shared" si="5"/>
        <v>221491.20000000001</v>
      </c>
      <c r="I35" s="23">
        <f>I164</f>
        <v>132875.20000000001</v>
      </c>
      <c r="J35" s="23">
        <f>J164</f>
        <v>129803</v>
      </c>
      <c r="K35" s="23">
        <f>K164</f>
        <v>0</v>
      </c>
      <c r="L35" s="23">
        <f>L164</f>
        <v>0</v>
      </c>
      <c r="M35" s="23">
        <f>M164</f>
        <v>47747.800000000003</v>
      </c>
      <c r="N35" s="23">
        <f>N164</f>
        <v>44112.599999999999</v>
      </c>
      <c r="O35" s="23">
        <f>O164</f>
        <v>47575.599999999999</v>
      </c>
      <c r="P35" s="23">
        <f>P164</f>
        <v>47575.599999999999</v>
      </c>
      <c r="Q35" s="55"/>
      <c r="R35" s="35"/>
      <c r="Y35" s="32"/>
    </row>
    <row r="36" s="26" customFormat="1" ht="13.15" customHeight="1">
      <c r="A36" s="27"/>
      <c r="B36" s="28"/>
      <c r="C36" s="13"/>
      <c r="D36" s="28"/>
      <c r="E36" s="28"/>
      <c r="F36" s="13" t="s">
        <v>29</v>
      </c>
      <c r="G36" s="23">
        <f t="shared" si="4"/>
        <v>245882</v>
      </c>
      <c r="H36" s="23">
        <f t="shared" si="5"/>
        <v>221168.20000000001</v>
      </c>
      <c r="I36" s="23">
        <f>I165</f>
        <v>158241</v>
      </c>
      <c r="J36" s="23">
        <f>J165</f>
        <v>151378</v>
      </c>
      <c r="K36" s="23">
        <f>K165</f>
        <v>0</v>
      </c>
      <c r="L36" s="23">
        <f>L165</f>
        <v>0</v>
      </c>
      <c r="M36" s="23">
        <f>M165</f>
        <v>47747.800000000003</v>
      </c>
      <c r="N36" s="23">
        <f>N165</f>
        <v>29897</v>
      </c>
      <c r="O36" s="23">
        <f>O165</f>
        <v>39893.199999999997</v>
      </c>
      <c r="P36" s="23">
        <f>P165</f>
        <v>39893.199999999997</v>
      </c>
      <c r="Q36" s="55"/>
      <c r="R36" s="35"/>
      <c r="Y36" s="32"/>
      <c r="Z36" s="32"/>
    </row>
    <row r="37" s="26" customFormat="1" ht="13.15" customHeight="1">
      <c r="A37" s="27"/>
      <c r="B37" s="28"/>
      <c r="C37" s="13"/>
      <c r="D37" s="28"/>
      <c r="E37" s="28"/>
      <c r="F37" s="13" t="s">
        <v>30</v>
      </c>
      <c r="G37" s="23">
        <f t="shared" si="4"/>
        <v>254386.29999999999</v>
      </c>
      <c r="H37" s="23">
        <f t="shared" si="5"/>
        <v>236225.5</v>
      </c>
      <c r="I37" s="23">
        <f>I166</f>
        <v>158241</v>
      </c>
      <c r="J37" s="23">
        <f>J166</f>
        <v>148675.70000000001</v>
      </c>
      <c r="K37" s="23">
        <f>K166</f>
        <v>0</v>
      </c>
      <c r="L37" s="23">
        <f>L166</f>
        <v>0</v>
      </c>
      <c r="M37" s="23">
        <f>M166</f>
        <v>47747.800000000003</v>
      </c>
      <c r="N37" s="23">
        <f>N166</f>
        <v>39152.300000000003</v>
      </c>
      <c r="O37" s="23">
        <f>O166</f>
        <v>48397.5</v>
      </c>
      <c r="P37" s="23">
        <f>P166</f>
        <v>48397.5</v>
      </c>
      <c r="Q37" s="55"/>
      <c r="R37" s="35"/>
      <c r="Y37" s="32"/>
    </row>
    <row r="38" s="26" customFormat="1" ht="13.15" customHeight="1">
      <c r="A38" s="27"/>
      <c r="B38" s="28"/>
      <c r="C38" s="13"/>
      <c r="D38" s="28"/>
      <c r="E38" s="56"/>
      <c r="F38" s="13" t="s">
        <v>31</v>
      </c>
      <c r="G38" s="23">
        <f t="shared" si="4"/>
        <v>284675.5</v>
      </c>
      <c r="H38" s="23">
        <f t="shared" si="5"/>
        <v>270895.40000000002</v>
      </c>
      <c r="I38" s="23">
        <f>I167</f>
        <v>181672</v>
      </c>
      <c r="J38" s="23">
        <f>J167</f>
        <v>176556.10000000001</v>
      </c>
      <c r="K38" s="23">
        <f>K167</f>
        <v>0</v>
      </c>
      <c r="L38" s="23">
        <f>L167</f>
        <v>0</v>
      </c>
      <c r="M38" s="23">
        <f>M167</f>
        <v>47747.800000000003</v>
      </c>
      <c r="N38" s="23">
        <f>N167</f>
        <v>39083.599999999999</v>
      </c>
      <c r="O38" s="23">
        <f>O167</f>
        <v>55255.699999999997</v>
      </c>
      <c r="P38" s="23">
        <f>P167</f>
        <v>55255.699999999997</v>
      </c>
      <c r="Q38" s="55"/>
      <c r="R38" s="35"/>
      <c r="Y38" s="32"/>
    </row>
    <row r="39" s="26" customFormat="1" ht="12.75" customHeight="1">
      <c r="A39" s="27"/>
      <c r="B39" s="28"/>
      <c r="C39" s="13"/>
      <c r="D39" s="28"/>
      <c r="E39" s="28"/>
      <c r="F39" s="13" t="s">
        <v>32</v>
      </c>
      <c r="G39" s="23">
        <f t="shared" si="4"/>
        <v>265017.89999999997</v>
      </c>
      <c r="H39" s="23">
        <f t="shared" si="5"/>
        <v>188648.00000000003</v>
      </c>
      <c r="I39" s="23">
        <f>I168</f>
        <v>181672</v>
      </c>
      <c r="J39" s="23">
        <f>J168</f>
        <v>147742.70000000001</v>
      </c>
      <c r="K39" s="23">
        <f>K168</f>
        <v>0</v>
      </c>
      <c r="L39" s="23">
        <f>L168</f>
        <v>0</v>
      </c>
      <c r="M39" s="23">
        <f>M168</f>
        <v>47747.800000000003</v>
      </c>
      <c r="N39" s="23">
        <f>N168</f>
        <v>5307.1999999999998</v>
      </c>
      <c r="O39" s="23">
        <f>O168</f>
        <v>35598.099999999999</v>
      </c>
      <c r="P39" s="23">
        <f>P168</f>
        <v>35598.099999999999</v>
      </c>
      <c r="Q39" s="55"/>
      <c r="R39" s="35"/>
    </row>
    <row r="40" s="26" customFormat="1" ht="13.15" customHeight="1">
      <c r="A40" s="27"/>
      <c r="B40" s="28"/>
      <c r="C40" s="13"/>
      <c r="D40" s="28"/>
      <c r="E40" s="28"/>
      <c r="F40" s="13" t="s">
        <v>33</v>
      </c>
      <c r="G40" s="23">
        <f t="shared" si="4"/>
        <v>265017.89999999997</v>
      </c>
      <c r="H40" s="23">
        <f t="shared" si="5"/>
        <v>188648.00000000003</v>
      </c>
      <c r="I40" s="23">
        <f>I169</f>
        <v>181672</v>
      </c>
      <c r="J40" s="23">
        <f>J169</f>
        <v>147742.70000000001</v>
      </c>
      <c r="K40" s="23">
        <f>K169</f>
        <v>0</v>
      </c>
      <c r="L40" s="23">
        <f>L169</f>
        <v>0</v>
      </c>
      <c r="M40" s="23">
        <f>M169</f>
        <v>47747.800000000003</v>
      </c>
      <c r="N40" s="23">
        <f>N169</f>
        <v>5307.1999999999998</v>
      </c>
      <c r="O40" s="23">
        <f>O169</f>
        <v>35598.099999999999</v>
      </c>
      <c r="P40" s="23">
        <f>P169</f>
        <v>35598.099999999999</v>
      </c>
      <c r="Q40" s="55"/>
      <c r="R40" s="35"/>
    </row>
    <row r="41" s="26" customFormat="1" ht="31.899999999999999" customHeight="1">
      <c r="A41" s="48"/>
      <c r="B41" s="49"/>
      <c r="C41" s="13"/>
      <c r="D41" s="49"/>
      <c r="E41" s="49"/>
      <c r="F41" s="13" t="s">
        <v>34</v>
      </c>
      <c r="G41" s="23">
        <f t="shared" si="4"/>
        <v>265017.89999999997</v>
      </c>
      <c r="H41" s="23">
        <f t="shared" si="5"/>
        <v>143516.20000000001</v>
      </c>
      <c r="I41" s="23">
        <f>I170</f>
        <v>181672</v>
      </c>
      <c r="J41" s="23">
        <f>J170</f>
        <v>143516.20000000001</v>
      </c>
      <c r="K41" s="23">
        <f>K170</f>
        <v>0</v>
      </c>
      <c r="L41" s="23">
        <f>L170</f>
        <v>0</v>
      </c>
      <c r="M41" s="23">
        <f>M170</f>
        <v>47747.800000000003</v>
      </c>
      <c r="N41" s="23">
        <f>N170</f>
        <v>0</v>
      </c>
      <c r="O41" s="23">
        <f>O170</f>
        <v>35598.099999999999</v>
      </c>
      <c r="P41" s="23">
        <f>P170</f>
        <v>0</v>
      </c>
      <c r="Q41" s="55"/>
      <c r="R41" s="35"/>
    </row>
    <row r="42" s="26" customFormat="1" ht="13.15" customHeight="1">
      <c r="A42" s="21"/>
      <c r="B42" s="22" t="s">
        <v>38</v>
      </c>
      <c r="C42" s="4"/>
      <c r="D42" s="57"/>
      <c r="E42" s="4"/>
      <c r="F42" s="13" t="s">
        <v>21</v>
      </c>
      <c r="G42" s="23">
        <f>SUM(G43:G53)</f>
        <v>40260</v>
      </c>
      <c r="H42" s="23">
        <f>SUM(H43:H53)</f>
        <v>10000</v>
      </c>
      <c r="I42" s="23">
        <f>SUM(I43:I53)</f>
        <v>5260</v>
      </c>
      <c r="J42" s="23">
        <f>SUM(J43:J53)</f>
        <v>0</v>
      </c>
      <c r="K42" s="23">
        <f>SUM(K43:K53)</f>
        <v>35000</v>
      </c>
      <c r="L42" s="23">
        <f>SUM(L43:L53)</f>
        <v>10000</v>
      </c>
      <c r="M42" s="23">
        <f>SUM(M43:M53)</f>
        <v>0</v>
      </c>
      <c r="N42" s="23">
        <f>SUM(N43:N53)</f>
        <v>0</v>
      </c>
      <c r="O42" s="23">
        <f>SUM(O43:O53)</f>
        <v>0</v>
      </c>
      <c r="P42" s="23">
        <f>SUM(P43:P53)</f>
        <v>0</v>
      </c>
      <c r="Q42" s="55" t="s">
        <v>36</v>
      </c>
      <c r="R42" s="35"/>
      <c r="T42" s="37"/>
      <c r="U42" s="37"/>
      <c r="AC42" s="37"/>
    </row>
    <row r="43" s="26" customFormat="1" ht="24" hidden="1" customHeight="1">
      <c r="A43" s="27"/>
      <c r="B43" s="28"/>
      <c r="F43" s="13" t="s">
        <v>23</v>
      </c>
      <c r="G43" s="23">
        <f t="shared" ref="G43:G53" si="6">I43+K43+M43+O43</f>
        <v>0</v>
      </c>
      <c r="H43" s="23">
        <f t="shared" ref="H43:H53" si="7">J43+L43+N43+P43</f>
        <v>0</v>
      </c>
      <c r="I43" s="23"/>
      <c r="J43" s="23"/>
      <c r="K43" s="23"/>
      <c r="L43" s="23"/>
      <c r="M43" s="23"/>
      <c r="N43" s="23"/>
      <c r="O43" s="23"/>
      <c r="P43" s="23"/>
      <c r="Q43" s="55"/>
      <c r="R43" s="31"/>
    </row>
    <row r="44" s="26" customFormat="1" ht="23.449999999999999" hidden="1" customHeight="1">
      <c r="A44" s="27"/>
      <c r="B44" s="28"/>
      <c r="C44" s="13" t="s">
        <v>39</v>
      </c>
      <c r="D44" s="13"/>
      <c r="E44" s="13"/>
      <c r="F44" s="13" t="s">
        <v>25</v>
      </c>
      <c r="G44" s="23">
        <f t="shared" si="6"/>
        <v>0</v>
      </c>
      <c r="H44" s="23">
        <f t="shared" si="7"/>
        <v>0</v>
      </c>
      <c r="I44" s="23"/>
      <c r="J44" s="23"/>
      <c r="K44" s="23"/>
      <c r="L44" s="23"/>
      <c r="M44" s="23"/>
      <c r="N44" s="23"/>
      <c r="O44" s="23"/>
      <c r="P44" s="23"/>
      <c r="Q44" s="55"/>
      <c r="R44" s="35"/>
    </row>
    <row r="45" s="26" customFormat="1" ht="13.15" hidden="1" customHeight="1">
      <c r="A45" s="27"/>
      <c r="B45" s="28"/>
      <c r="C45" s="13"/>
      <c r="D45" s="13"/>
      <c r="E45" s="13"/>
      <c r="F45" s="13" t="s">
        <v>26</v>
      </c>
      <c r="G45" s="23">
        <f t="shared" si="6"/>
        <v>0</v>
      </c>
      <c r="H45" s="23">
        <f t="shared" si="7"/>
        <v>0</v>
      </c>
      <c r="I45" s="23"/>
      <c r="J45" s="23"/>
      <c r="K45" s="23"/>
      <c r="L45" s="23"/>
      <c r="M45" s="23"/>
      <c r="N45" s="23"/>
      <c r="O45" s="23"/>
      <c r="P45" s="23"/>
      <c r="Q45" s="55"/>
      <c r="R45" s="35"/>
    </row>
    <row r="46" s="26" customFormat="1" ht="19.149999999999999" hidden="1" customHeight="1">
      <c r="A46" s="27"/>
      <c r="B46" s="28"/>
      <c r="C46" s="13"/>
      <c r="D46" s="13"/>
      <c r="E46" s="13"/>
      <c r="F46" s="13" t="s">
        <v>27</v>
      </c>
      <c r="G46" s="23">
        <f t="shared" si="6"/>
        <v>0</v>
      </c>
      <c r="H46" s="23">
        <f t="shared" si="7"/>
        <v>0</v>
      </c>
      <c r="I46" s="23"/>
      <c r="J46" s="23"/>
      <c r="K46" s="23"/>
      <c r="L46" s="23"/>
      <c r="M46" s="23"/>
      <c r="N46" s="23"/>
      <c r="O46" s="23"/>
      <c r="P46" s="23"/>
      <c r="Q46" s="55"/>
      <c r="R46" s="35"/>
    </row>
    <row r="47" s="26" customFormat="1" ht="13.15" customHeight="1">
      <c r="A47" s="27"/>
      <c r="B47" s="28"/>
      <c r="C47" s="13"/>
      <c r="D47" s="22"/>
      <c r="E47" s="22"/>
      <c r="F47" s="13" t="s">
        <v>28</v>
      </c>
      <c r="G47" s="23">
        <f t="shared" si="6"/>
        <v>5000</v>
      </c>
      <c r="H47" s="23">
        <f t="shared" si="7"/>
        <v>5000</v>
      </c>
      <c r="I47" s="23">
        <f>I451</f>
        <v>0</v>
      </c>
      <c r="J47" s="23">
        <f>J451</f>
        <v>0</v>
      </c>
      <c r="K47" s="23">
        <f>K451</f>
        <v>5000</v>
      </c>
      <c r="L47" s="23">
        <f>L451</f>
        <v>5000</v>
      </c>
      <c r="M47" s="23">
        <f>M451</f>
        <v>0</v>
      </c>
      <c r="N47" s="23">
        <f>N451</f>
        <v>0</v>
      </c>
      <c r="O47" s="23">
        <f>O451</f>
        <v>0</v>
      </c>
      <c r="P47" s="23">
        <f>P451</f>
        <v>0</v>
      </c>
      <c r="Q47" s="55"/>
      <c r="R47" s="35"/>
    </row>
    <row r="48" s="26" customFormat="1" ht="13.15" customHeight="1">
      <c r="A48" s="27"/>
      <c r="B48" s="28"/>
      <c r="C48" s="13"/>
      <c r="D48" s="28"/>
      <c r="E48" s="28"/>
      <c r="F48" s="13" t="s">
        <v>29</v>
      </c>
      <c r="G48" s="23">
        <f t="shared" si="6"/>
        <v>5260</v>
      </c>
      <c r="H48" s="23">
        <f t="shared" si="7"/>
        <v>0</v>
      </c>
      <c r="I48" s="23">
        <f>I452</f>
        <v>260</v>
      </c>
      <c r="J48" s="23">
        <f>J452</f>
        <v>0</v>
      </c>
      <c r="K48" s="23">
        <f>K452</f>
        <v>5000</v>
      </c>
      <c r="L48" s="23">
        <f>L452</f>
        <v>0</v>
      </c>
      <c r="M48" s="23">
        <f>M452</f>
        <v>0</v>
      </c>
      <c r="N48" s="23">
        <f>N452</f>
        <v>0</v>
      </c>
      <c r="O48" s="23">
        <f>O452</f>
        <v>0</v>
      </c>
      <c r="P48" s="23">
        <f>P452</f>
        <v>0</v>
      </c>
      <c r="Q48" s="55"/>
      <c r="R48" s="35"/>
    </row>
    <row r="49" s="26" customFormat="1" ht="13.15" customHeight="1">
      <c r="A49" s="27"/>
      <c r="B49" s="28"/>
      <c r="C49" s="13"/>
      <c r="D49" s="28"/>
      <c r="E49" s="28"/>
      <c r="F49" s="13" t="s">
        <v>30</v>
      </c>
      <c r="G49" s="23">
        <f t="shared" si="6"/>
        <v>6000</v>
      </c>
      <c r="H49" s="23">
        <f t="shared" si="7"/>
        <v>5000</v>
      </c>
      <c r="I49" s="23">
        <f>I453</f>
        <v>1000</v>
      </c>
      <c r="J49" s="23">
        <f>J453</f>
        <v>0</v>
      </c>
      <c r="K49" s="23">
        <f>K453</f>
        <v>5000</v>
      </c>
      <c r="L49" s="23">
        <f>L453</f>
        <v>5000</v>
      </c>
      <c r="M49" s="23">
        <f>M453</f>
        <v>0</v>
      </c>
      <c r="N49" s="23">
        <f>N453</f>
        <v>0</v>
      </c>
      <c r="O49" s="23">
        <f>O453</f>
        <v>0</v>
      </c>
      <c r="P49" s="23">
        <f>P453</f>
        <v>0</v>
      </c>
      <c r="Q49" s="55"/>
      <c r="R49" s="35"/>
    </row>
    <row r="50" s="26" customFormat="1" ht="24.600000000000001" customHeight="1">
      <c r="A50" s="27"/>
      <c r="B50" s="28"/>
      <c r="C50" s="13"/>
      <c r="D50" s="28"/>
      <c r="E50" s="28"/>
      <c r="F50" s="13" t="s">
        <v>31</v>
      </c>
      <c r="G50" s="23">
        <f t="shared" si="6"/>
        <v>6000</v>
      </c>
      <c r="H50" s="23">
        <f t="shared" si="7"/>
        <v>0</v>
      </c>
      <c r="I50" s="23">
        <f>I454</f>
        <v>1000</v>
      </c>
      <c r="J50" s="23">
        <f>J454</f>
        <v>0</v>
      </c>
      <c r="K50" s="23">
        <f>K454</f>
        <v>5000</v>
      </c>
      <c r="L50" s="23">
        <f>L454</f>
        <v>0</v>
      </c>
      <c r="M50" s="23">
        <f>M454</f>
        <v>0</v>
      </c>
      <c r="N50" s="23">
        <f>N454</f>
        <v>0</v>
      </c>
      <c r="O50" s="23">
        <f>O454</f>
        <v>0</v>
      </c>
      <c r="P50" s="23">
        <f>P454</f>
        <v>0</v>
      </c>
      <c r="Q50" s="55"/>
      <c r="R50" s="35"/>
    </row>
    <row r="51" s="26" customFormat="1" ht="16.149999999999999" customHeight="1">
      <c r="A51" s="27"/>
      <c r="B51" s="28"/>
      <c r="C51" s="13"/>
      <c r="D51" s="28"/>
      <c r="E51" s="28"/>
      <c r="F51" s="13" t="s">
        <v>32</v>
      </c>
      <c r="G51" s="23">
        <f t="shared" si="6"/>
        <v>6000</v>
      </c>
      <c r="H51" s="23">
        <f t="shared" si="7"/>
        <v>0</v>
      </c>
      <c r="I51" s="23">
        <f>I455</f>
        <v>1000</v>
      </c>
      <c r="J51" s="23">
        <f>J455</f>
        <v>0</v>
      </c>
      <c r="K51" s="23">
        <f>K455</f>
        <v>5000</v>
      </c>
      <c r="L51" s="23">
        <f>L455</f>
        <v>0</v>
      </c>
      <c r="M51" s="23">
        <f>M455</f>
        <v>0</v>
      </c>
      <c r="N51" s="23">
        <f>N455</f>
        <v>0</v>
      </c>
      <c r="O51" s="23">
        <f>O455</f>
        <v>0</v>
      </c>
      <c r="P51" s="23">
        <f>P455</f>
        <v>0</v>
      </c>
      <c r="Q51" s="55"/>
      <c r="R51" s="35"/>
    </row>
    <row r="52" s="26" customFormat="1">
      <c r="A52" s="27"/>
      <c r="B52" s="28"/>
      <c r="C52" s="13"/>
      <c r="D52" s="28"/>
      <c r="E52" s="28"/>
      <c r="F52" s="13" t="s">
        <v>33</v>
      </c>
      <c r="G52" s="23">
        <f t="shared" si="6"/>
        <v>6000</v>
      </c>
      <c r="H52" s="23">
        <f t="shared" si="7"/>
        <v>0</v>
      </c>
      <c r="I52" s="23">
        <f>I456</f>
        <v>1000</v>
      </c>
      <c r="J52" s="23">
        <f>J456</f>
        <v>0</v>
      </c>
      <c r="K52" s="23">
        <f>K456</f>
        <v>5000</v>
      </c>
      <c r="L52" s="23">
        <f>L456</f>
        <v>0</v>
      </c>
      <c r="M52" s="23">
        <f>M456</f>
        <v>0</v>
      </c>
      <c r="N52" s="23">
        <f>N456</f>
        <v>0</v>
      </c>
      <c r="O52" s="23">
        <f>O456</f>
        <v>0</v>
      </c>
      <c r="P52" s="23">
        <f>P456</f>
        <v>0</v>
      </c>
      <c r="Q52" s="55"/>
      <c r="R52" s="35"/>
    </row>
    <row r="53" s="26" customFormat="1" ht="40.149999999999999" customHeight="1">
      <c r="A53" s="48"/>
      <c r="B53" s="49"/>
      <c r="C53" s="13"/>
      <c r="D53" s="49"/>
      <c r="E53" s="49"/>
      <c r="F53" s="13" t="s">
        <v>34</v>
      </c>
      <c r="G53" s="23">
        <f t="shared" si="6"/>
        <v>6000</v>
      </c>
      <c r="H53" s="23">
        <f t="shared" si="7"/>
        <v>0</v>
      </c>
      <c r="I53" s="23">
        <f>I457</f>
        <v>1000</v>
      </c>
      <c r="J53" s="23">
        <f>J457</f>
        <v>0</v>
      </c>
      <c r="K53" s="23">
        <f>K457</f>
        <v>5000</v>
      </c>
      <c r="L53" s="23">
        <f>L457</f>
        <v>0</v>
      </c>
      <c r="M53" s="23">
        <f>M457</f>
        <v>0</v>
      </c>
      <c r="N53" s="23">
        <f>N457</f>
        <v>0</v>
      </c>
      <c r="O53" s="23">
        <f>O457</f>
        <v>0</v>
      </c>
      <c r="P53" s="23">
        <f>P457</f>
        <v>0</v>
      </c>
      <c r="Q53" s="55"/>
      <c r="R53" s="35"/>
    </row>
    <row r="54" s="26" customFormat="1">
      <c r="A54" s="12" t="s">
        <v>40</v>
      </c>
      <c r="B54" s="58" t="s">
        <v>41</v>
      </c>
      <c r="F54" s="13" t="s">
        <v>21</v>
      </c>
      <c r="G54" s="23">
        <f>SUM(G55:G65)</f>
        <v>1338588.6930000002</v>
      </c>
      <c r="H54" s="23">
        <f>SUM(H55:H65)</f>
        <v>1032021.943</v>
      </c>
      <c r="I54" s="23">
        <f>SUM(I55:I65)</f>
        <v>861332.05000000005</v>
      </c>
      <c r="J54" s="23">
        <f>SUM(J55:J65)</f>
        <v>747646.0199999999</v>
      </c>
      <c r="K54" s="23">
        <f>SUM(K55:K65)</f>
        <v>2586.7000000000003</v>
      </c>
      <c r="L54" s="23">
        <f>SUM(L55:L65)</f>
        <v>848.89999999999998</v>
      </c>
      <c r="M54" s="23">
        <f>SUM(M55:M65)</f>
        <v>461069.54300000006</v>
      </c>
      <c r="N54" s="23">
        <f>SUM(N55:N65)</f>
        <v>270791.62300000002</v>
      </c>
      <c r="O54" s="23">
        <f>SUM(O55:O65)</f>
        <v>13600.4</v>
      </c>
      <c r="P54" s="23">
        <f>SUM(P55:P65)</f>
        <v>12735.4</v>
      </c>
      <c r="Q54" s="59" t="s">
        <v>36</v>
      </c>
      <c r="R54" s="35"/>
    </row>
    <row r="55" s="26" customFormat="1" ht="42.75" customHeight="1">
      <c r="A55" s="14"/>
      <c r="B55" s="58" t="s">
        <v>42</v>
      </c>
      <c r="C55" s="13" t="s">
        <v>43</v>
      </c>
      <c r="D55" s="22"/>
      <c r="E55" s="22"/>
      <c r="F55" s="13" t="s">
        <v>23</v>
      </c>
      <c r="G55" s="23">
        <f>I55+K55+M55+O55</f>
        <v>94910.100000000006</v>
      </c>
      <c r="H55" s="23">
        <f>J55+L55+N55+P55</f>
        <v>73906</v>
      </c>
      <c r="I55" s="23">
        <f t="shared" ref="I55:I60" si="8">I67+I79+I93+I105</f>
        <v>71330.300000000003</v>
      </c>
      <c r="J55" s="23">
        <f>J67+J79+J93+J105</f>
        <v>53230.199999999997</v>
      </c>
      <c r="K55" s="23">
        <f>K67+K79+K93</f>
        <v>525</v>
      </c>
      <c r="L55" s="23">
        <f>L67+L79+L93</f>
        <v>0</v>
      </c>
      <c r="M55" s="23">
        <f>M67+M79+M93</f>
        <v>21964.299999999999</v>
      </c>
      <c r="N55" s="23">
        <f>N67+N79+N93</f>
        <v>19585.299999999999</v>
      </c>
      <c r="O55" s="23">
        <f>O67+O79+O93</f>
        <v>1090.5</v>
      </c>
      <c r="P55" s="23">
        <f>P67+P79+P93</f>
        <v>1090.5</v>
      </c>
      <c r="Q55" s="60"/>
      <c r="R55" s="31"/>
    </row>
    <row r="56" s="26" customFormat="1" ht="42" customHeight="1">
      <c r="A56" s="14"/>
      <c r="B56" s="58"/>
      <c r="C56" s="22" t="s">
        <v>44</v>
      </c>
      <c r="D56" s="28"/>
      <c r="E56" s="28"/>
      <c r="F56" s="61" t="s">
        <v>25</v>
      </c>
      <c r="G56" s="23">
        <f>I56+K56+M56+O56</f>
        <v>85717.779999999999</v>
      </c>
      <c r="H56" s="23">
        <f>J56+L56+N56+P56</f>
        <v>78152.699999999997</v>
      </c>
      <c r="I56" s="23">
        <f t="shared" si="8"/>
        <v>61778.080000000002</v>
      </c>
      <c r="J56" s="23">
        <f>J68+J94+J106</f>
        <v>56943</v>
      </c>
      <c r="K56" s="23">
        <f>K68+K80+K94</f>
        <v>577.5</v>
      </c>
      <c r="L56" s="23">
        <f>L68+L80+L94</f>
        <v>0</v>
      </c>
      <c r="M56" s="23">
        <f>M68+M80+M94</f>
        <v>21556.5</v>
      </c>
      <c r="N56" s="23">
        <f>N68+N80+N94</f>
        <v>19404</v>
      </c>
      <c r="O56" s="23">
        <f>O68+O80+O94</f>
        <v>1805.7</v>
      </c>
      <c r="P56" s="23">
        <f>P68+P80+P94</f>
        <v>1805.7</v>
      </c>
      <c r="Q56" s="60"/>
      <c r="R56" s="35"/>
    </row>
    <row r="57" s="26" customFormat="1" ht="26.25" customHeight="1">
      <c r="A57" s="14"/>
      <c r="B57" s="58"/>
      <c r="C57" s="28"/>
      <c r="D57" s="28"/>
      <c r="E57" s="28"/>
      <c r="F57" s="61" t="s">
        <v>26</v>
      </c>
      <c r="G57" s="23">
        <f>I57+K57+M57+O57</f>
        <v>103715.24300000002</v>
      </c>
      <c r="H57" s="23">
        <f>J57+L57+N57+P57</f>
        <v>97697.143000000011</v>
      </c>
      <c r="I57" s="23">
        <f t="shared" si="8"/>
        <v>63546.300000000003</v>
      </c>
      <c r="J57" s="23">
        <f t="shared" ref="J57:J60" si="9">J69+J81+J95+J107</f>
        <v>59052.900000000001</v>
      </c>
      <c r="K57" s="23">
        <f>K69+K81+K95</f>
        <v>635.29999999999995</v>
      </c>
      <c r="L57" s="23">
        <f>L69+L81+L95</f>
        <v>0</v>
      </c>
      <c r="M57" s="23">
        <f>M69+M81+M95</f>
        <v>38033.542999999998</v>
      </c>
      <c r="N57" s="23">
        <f>N69+N81+N95</f>
        <v>37144.142999999996</v>
      </c>
      <c r="O57" s="23">
        <f>O69+O81+O95</f>
        <v>1500.0999999999999</v>
      </c>
      <c r="P57" s="23">
        <f>P69+P81+P95</f>
        <v>1500.0999999999999</v>
      </c>
      <c r="Q57" s="60"/>
      <c r="R57" s="35"/>
      <c r="S57" s="62" t="s">
        <v>42</v>
      </c>
      <c r="T57" s="62"/>
    </row>
    <row r="58" s="26" customFormat="1">
      <c r="A58" s="14"/>
      <c r="B58" s="58"/>
      <c r="C58" s="28"/>
      <c r="D58" s="28"/>
      <c r="E58" s="28"/>
      <c r="F58" s="61" t="s">
        <v>27</v>
      </c>
      <c r="G58" s="23">
        <f>I58+K58+M58+O58</f>
        <v>112584.2</v>
      </c>
      <c r="H58" s="23">
        <f>J58+L58+N58+P58</f>
        <v>108049.3</v>
      </c>
      <c r="I58" s="23">
        <f t="shared" si="8"/>
        <v>63552.5</v>
      </c>
      <c r="J58" s="23">
        <f t="shared" si="9"/>
        <v>59017.599999999999</v>
      </c>
      <c r="K58" s="23">
        <f>K70+K82+K96</f>
        <v>0</v>
      </c>
      <c r="L58" s="23">
        <f>L70+L82+L96</f>
        <v>0</v>
      </c>
      <c r="M58" s="23">
        <f>M70+M82+M96</f>
        <v>47439.400000000001</v>
      </c>
      <c r="N58" s="23">
        <f>N70+N82+N96</f>
        <v>47439.400000000001</v>
      </c>
      <c r="O58" s="23">
        <f>O70+O82+O96</f>
        <v>1592.3</v>
      </c>
      <c r="P58" s="23">
        <f>P70+P82+P96</f>
        <v>1592.3</v>
      </c>
      <c r="Q58" s="60"/>
      <c r="R58" s="35"/>
      <c r="S58" s="62"/>
      <c r="T58" s="62"/>
      <c r="AD58" s="37"/>
    </row>
    <row r="59" s="26" customFormat="1">
      <c r="A59" s="14"/>
      <c r="B59" s="58"/>
      <c r="C59" s="28"/>
      <c r="D59" s="28"/>
      <c r="E59" s="28"/>
      <c r="F59" s="61" t="s">
        <v>28</v>
      </c>
      <c r="G59" s="23">
        <f>I59+K59+M59+O59</f>
        <v>112752.29999999999</v>
      </c>
      <c r="H59" s="23">
        <f>J59+L59+N59+P59</f>
        <v>107962.39999999999</v>
      </c>
      <c r="I59" s="23">
        <f t="shared" si="8"/>
        <v>63552.5</v>
      </c>
      <c r="J59" s="23">
        <f t="shared" si="9"/>
        <v>59554.900000000001</v>
      </c>
      <c r="K59" s="23">
        <f>K71+K83+K97</f>
        <v>0</v>
      </c>
      <c r="L59" s="23">
        <f>L71+L83+L97</f>
        <v>0</v>
      </c>
      <c r="M59" s="23">
        <f>M71+M83+M97</f>
        <v>47439.400000000001</v>
      </c>
      <c r="N59" s="23">
        <f>N71+N83+N97</f>
        <v>46647.099999999999</v>
      </c>
      <c r="O59" s="23">
        <f>O71+O83+O97</f>
        <v>1760.4000000000001</v>
      </c>
      <c r="P59" s="23">
        <f>P71+P83+P97</f>
        <v>1760.4000000000001</v>
      </c>
      <c r="Q59" s="60"/>
      <c r="R59" s="35"/>
      <c r="S59" s="63">
        <f t="shared" ref="S59:S65" si="10">H59/G59*100</f>
        <v>95.751838321701641</v>
      </c>
      <c r="T59" s="61" t="s">
        <v>28</v>
      </c>
      <c r="Y59" s="64"/>
      <c r="Z59" s="64"/>
      <c r="AA59" s="64"/>
      <c r="AB59" s="64"/>
    </row>
    <row r="60" s="26" customFormat="1">
      <c r="A60" s="14"/>
      <c r="B60" s="58"/>
      <c r="C60" s="28"/>
      <c r="D60" s="28"/>
      <c r="E60" s="28"/>
      <c r="F60" s="61" t="s">
        <v>29</v>
      </c>
      <c r="G60" s="23">
        <f>I60+K60+M60+O60</f>
        <v>126657.13</v>
      </c>
      <c r="H60" s="23">
        <f>J60+L60+N60+P60</f>
        <v>109893.13</v>
      </c>
      <c r="I60" s="23">
        <f t="shared" si="8"/>
        <v>78438.229999999996</v>
      </c>
      <c r="J60" s="23">
        <f t="shared" si="9"/>
        <v>76328.630000000005</v>
      </c>
      <c r="K60" s="23">
        <f>K72+K84+K98</f>
        <v>0</v>
      </c>
      <c r="L60" s="23">
        <f>L72+L84+L98</f>
        <v>0</v>
      </c>
      <c r="M60" s="23">
        <f>M72+M84+M98</f>
        <v>47439.400000000001</v>
      </c>
      <c r="N60" s="23">
        <f>N72+N84+N98</f>
        <v>32785</v>
      </c>
      <c r="O60" s="23">
        <f>O72+O84+O98</f>
        <v>779.5</v>
      </c>
      <c r="P60" s="23">
        <f>P72+P84+P98</f>
        <v>779.5</v>
      </c>
      <c r="Q60" s="60"/>
      <c r="R60" s="35"/>
      <c r="S60" s="63">
        <f t="shared" si="10"/>
        <v>86.764266646496722</v>
      </c>
      <c r="T60" s="61" t="s">
        <v>29</v>
      </c>
      <c r="Y60" s="64"/>
      <c r="Z60" s="64"/>
      <c r="AA60" s="64"/>
      <c r="AB60" s="64"/>
    </row>
    <row r="61" s="26" customFormat="1">
      <c r="A61" s="14"/>
      <c r="B61" s="58"/>
      <c r="C61" s="28"/>
      <c r="D61" s="28"/>
      <c r="E61" s="28"/>
      <c r="F61" s="61" t="s">
        <v>30</v>
      </c>
      <c r="G61" s="23">
        <f>I61+K61+M61+O61</f>
        <v>132732.20000000001</v>
      </c>
      <c r="H61" s="23">
        <f>J61+L61+N61+P61</f>
        <v>113985.10000000001</v>
      </c>
      <c r="I61" s="23">
        <f>I73+I99+I111</f>
        <v>83452.699999999997</v>
      </c>
      <c r="J61" s="23">
        <f>J73+J99+J111</f>
        <v>80236.899999999994</v>
      </c>
      <c r="K61" s="23">
        <f>K73+K99+K111</f>
        <v>416</v>
      </c>
      <c r="L61" s="23">
        <f>L73+L99+L111</f>
        <v>416</v>
      </c>
      <c r="M61" s="23">
        <f>M73+M99+M111</f>
        <v>47439.400000000001</v>
      </c>
      <c r="N61" s="23">
        <f>N73+N99+N111</f>
        <v>31908.099999999999</v>
      </c>
      <c r="O61" s="23">
        <f>O73+O99+O111</f>
        <v>1424.0999999999999</v>
      </c>
      <c r="P61" s="23">
        <f>P73+P99+P111</f>
        <v>1424.0999999999999</v>
      </c>
      <c r="Q61" s="60"/>
      <c r="R61" s="35"/>
      <c r="S61" s="63">
        <f t="shared" si="10"/>
        <v>85.875996932168675</v>
      </c>
      <c r="T61" s="61" t="s">
        <v>30</v>
      </c>
      <c r="W61" s="32">
        <f t="shared" ref="W61:W124" si="11">I61-J61</f>
        <v>3215.8000000000029</v>
      </c>
      <c r="Y61" s="64"/>
      <c r="Z61" s="64"/>
      <c r="AA61" s="64"/>
      <c r="AB61" s="64"/>
    </row>
    <row r="62" s="65" customFormat="1">
      <c r="A62" s="14"/>
      <c r="B62" s="58"/>
      <c r="C62" s="28"/>
      <c r="D62" s="28"/>
      <c r="E62" s="28"/>
      <c r="F62" s="66" t="s">
        <v>31</v>
      </c>
      <c r="G62" s="67">
        <f>I62+K62+M62+O62</f>
        <v>147176.03999999998</v>
      </c>
      <c r="H62" s="67">
        <f>J62+L62+N62+P62</f>
        <v>121542.27</v>
      </c>
      <c r="I62" s="67">
        <f>I74+I100+I112</f>
        <v>98250.940000000002</v>
      </c>
      <c r="J62" s="67">
        <f>J74+J100+J112</f>
        <v>84177.990000000005</v>
      </c>
      <c r="K62" s="67">
        <f>K74+K100+K112</f>
        <v>432.89999999999998</v>
      </c>
      <c r="L62" s="67">
        <f>L74+L100+L112</f>
        <v>432.89999999999998</v>
      </c>
      <c r="M62" s="67">
        <f>M74+M100+M112</f>
        <v>47439.400000000001</v>
      </c>
      <c r="N62" s="67">
        <f>N74+N100+N112</f>
        <v>35878.580000000002</v>
      </c>
      <c r="O62" s="67">
        <f>O74+O100+O112</f>
        <v>1052.8</v>
      </c>
      <c r="P62" s="67">
        <f>P74+P100+P112</f>
        <v>1052.8</v>
      </c>
      <c r="Q62" s="60"/>
      <c r="R62" s="68"/>
      <c r="S62" s="69">
        <f t="shared" si="10"/>
        <v>82.582919067533027</v>
      </c>
      <c r="T62" s="66" t="s">
        <v>31</v>
      </c>
      <c r="W62" s="70">
        <f t="shared" si="11"/>
        <v>14072.949999999997</v>
      </c>
      <c r="Y62" s="71"/>
      <c r="Z62" s="71"/>
      <c r="AA62" s="71"/>
      <c r="AB62" s="71"/>
    </row>
    <row r="63" s="26" customFormat="1" ht="15.6" customHeight="1">
      <c r="A63" s="14"/>
      <c r="B63" s="58"/>
      <c r="C63" s="28"/>
      <c r="D63" s="28"/>
      <c r="E63" s="28"/>
      <c r="F63" s="61" t="s">
        <v>32</v>
      </c>
      <c r="G63" s="23">
        <f>I63+K63+M63+O63</f>
        <v>140716.5</v>
      </c>
      <c r="H63" s="23">
        <f>J63+L63+N63+P63</f>
        <v>78160.699999999997</v>
      </c>
      <c r="I63" s="23">
        <f>I75+I101+I113</f>
        <v>92412.100000000006</v>
      </c>
      <c r="J63" s="23">
        <f>J75+J101+J113</f>
        <v>77295.699999999997</v>
      </c>
      <c r="K63" s="23">
        <f>K75+K101+K113</f>
        <v>0</v>
      </c>
      <c r="L63" s="23">
        <f>L75+L101+L113</f>
        <v>0</v>
      </c>
      <c r="M63" s="23">
        <f>M75+M101+M113</f>
        <v>47439.400000000001</v>
      </c>
      <c r="N63" s="23">
        <f>N75+N101+N113</f>
        <v>0</v>
      </c>
      <c r="O63" s="23">
        <f>O75+O101+O113</f>
        <v>865</v>
      </c>
      <c r="P63" s="23">
        <f>P75+P101+P113</f>
        <v>865</v>
      </c>
      <c r="Q63" s="60"/>
      <c r="R63" s="35"/>
      <c r="S63" s="63">
        <f t="shared" si="10"/>
        <v>55.544801071658256</v>
      </c>
      <c r="T63" s="61" t="s">
        <v>32</v>
      </c>
      <c r="W63" s="32">
        <f t="shared" si="11"/>
        <v>15116.400000000009</v>
      </c>
      <c r="Y63" s="64"/>
      <c r="Z63" s="64"/>
      <c r="AA63" s="64"/>
      <c r="AB63" s="64"/>
    </row>
    <row r="64" s="26" customFormat="1">
      <c r="A64" s="14"/>
      <c r="B64" s="58"/>
      <c r="C64" s="28"/>
      <c r="D64" s="28"/>
      <c r="E64" s="28"/>
      <c r="F64" s="61" t="s">
        <v>33</v>
      </c>
      <c r="G64" s="23">
        <f>I64+K64+M64+O64</f>
        <v>140813.60000000001</v>
      </c>
      <c r="H64" s="23">
        <f>J64+L64+N64+P64</f>
        <v>78160.699999999997</v>
      </c>
      <c r="I64" s="23">
        <f>I76+I102+I114</f>
        <v>92509.200000000012</v>
      </c>
      <c r="J64" s="23">
        <f>J76+J102+J114</f>
        <v>77295.699999999997</v>
      </c>
      <c r="K64" s="23">
        <f>K76+K102+K114</f>
        <v>0</v>
      </c>
      <c r="L64" s="23">
        <f>L76+L102+L114</f>
        <v>0</v>
      </c>
      <c r="M64" s="23">
        <f>M76+M102+M114</f>
        <v>47439.400000000001</v>
      </c>
      <c r="N64" s="23">
        <f>N76+N102+N114</f>
        <v>0</v>
      </c>
      <c r="O64" s="23">
        <f>O76+O102+O114</f>
        <v>865</v>
      </c>
      <c r="P64" s="23">
        <f>P76+P102+P114</f>
        <v>865</v>
      </c>
      <c r="Q64" s="60"/>
      <c r="R64" s="35"/>
      <c r="S64" s="63">
        <f t="shared" si="10"/>
        <v>55.506499372219722</v>
      </c>
      <c r="T64" s="61" t="s">
        <v>33</v>
      </c>
      <c r="W64" s="32">
        <f t="shared" si="11"/>
        <v>15213.500000000015</v>
      </c>
      <c r="Y64" s="64"/>
      <c r="Z64" s="64"/>
      <c r="AA64" s="64"/>
      <c r="AB64" s="64"/>
    </row>
    <row r="65" s="26" customFormat="1">
      <c r="A65" s="14"/>
      <c r="B65" s="58"/>
      <c r="C65" s="49"/>
      <c r="D65" s="49"/>
      <c r="E65" s="49"/>
      <c r="F65" s="61" t="s">
        <v>34</v>
      </c>
      <c r="G65" s="23">
        <f>I65+K65+M65+O65</f>
        <v>140813.60000000001</v>
      </c>
      <c r="H65" s="23">
        <f>J65+L65+N65+P65</f>
        <v>64512.499999999993</v>
      </c>
      <c r="I65" s="23">
        <f>I77+I103+I115</f>
        <v>92509.200000000012</v>
      </c>
      <c r="J65" s="23">
        <f>J77+J103+J115</f>
        <v>64512.499999999993</v>
      </c>
      <c r="K65" s="23">
        <f>K77+K103+K115</f>
        <v>0</v>
      </c>
      <c r="L65" s="23">
        <f>L77+L103+L115</f>
        <v>0</v>
      </c>
      <c r="M65" s="23">
        <f>M77+M103+M115</f>
        <v>47439.400000000001</v>
      </c>
      <c r="N65" s="23">
        <f>N77+N103+N115</f>
        <v>0</v>
      </c>
      <c r="O65" s="23">
        <f>O77+O103+O115</f>
        <v>865</v>
      </c>
      <c r="P65" s="23">
        <f>P77+P103+P115</f>
        <v>0</v>
      </c>
      <c r="Q65" s="60"/>
      <c r="R65" s="35"/>
      <c r="S65" s="63">
        <f t="shared" si="10"/>
        <v>45.814111705119387</v>
      </c>
      <c r="T65" s="61" t="s">
        <v>34</v>
      </c>
      <c r="W65" s="32">
        <f t="shared" si="11"/>
        <v>27996.700000000019</v>
      </c>
      <c r="Y65" s="64"/>
      <c r="Z65" s="64"/>
      <c r="AA65" s="64"/>
      <c r="AB65" s="64"/>
    </row>
    <row r="66" s="26" customFormat="1" ht="15.6" customHeight="1">
      <c r="A66" s="14"/>
      <c r="B66" s="72" t="s">
        <v>45</v>
      </c>
      <c r="F66" s="11" t="s">
        <v>21</v>
      </c>
      <c r="G66" s="62">
        <f>SUM(G67:G77)</f>
        <v>1322633.8529999999</v>
      </c>
      <c r="H66" s="62">
        <f>SUM(H67:H77)</f>
        <v>1028583.103</v>
      </c>
      <c r="I66" s="62">
        <f>SUM(I67:I77)</f>
        <v>846797.20999999985</v>
      </c>
      <c r="J66" s="62">
        <f>SUM(J67:J77)</f>
        <v>744367.17999999982</v>
      </c>
      <c r="K66" s="62">
        <f>SUM(K67:K77)</f>
        <v>2061.6999999999998</v>
      </c>
      <c r="L66" s="62">
        <f>SUM(L67:L77)</f>
        <v>848.89999999999998</v>
      </c>
      <c r="M66" s="62">
        <f>SUM(M67:M77)</f>
        <v>460334.54300000006</v>
      </c>
      <c r="N66" s="62">
        <f>SUM(N67:N77)</f>
        <v>270791.62300000002</v>
      </c>
      <c r="O66" s="62">
        <f>SUM(O67:O77)</f>
        <v>13440.4</v>
      </c>
      <c r="P66" s="62">
        <f>SUM(P67:P77)</f>
        <v>12575.4</v>
      </c>
      <c r="Q66" s="60"/>
      <c r="R66" s="35"/>
      <c r="W66" s="32">
        <f t="shared" si="11"/>
        <v>102430.03000000003</v>
      </c>
    </row>
    <row r="67" s="73" customFormat="1" ht="53.25" customHeight="1">
      <c r="A67" s="14"/>
      <c r="B67" s="72"/>
      <c r="C67" s="11" t="s">
        <v>46</v>
      </c>
      <c r="D67" s="12" t="s">
        <v>47</v>
      </c>
      <c r="E67" s="12" t="s">
        <v>48</v>
      </c>
      <c r="F67" s="11" t="s">
        <v>23</v>
      </c>
      <c r="G67" s="62">
        <f>I67+K67+M67+O67</f>
        <v>91017.100000000006</v>
      </c>
      <c r="H67" s="62">
        <f>J67+L67+N67+P67</f>
        <v>73591</v>
      </c>
      <c r="I67" s="62">
        <f>17212+J67-1400-29.9</f>
        <v>68857.300000000003</v>
      </c>
      <c r="J67" s="62">
        <f>53075.099999999999+0.10000000000000001</f>
        <v>53075.199999999997</v>
      </c>
      <c r="K67" s="62">
        <v>0</v>
      </c>
      <c r="L67" s="62">
        <v>0</v>
      </c>
      <c r="M67" s="62">
        <f>1644+N67</f>
        <v>21229.299999999999</v>
      </c>
      <c r="N67" s="62">
        <v>19585.299999999999</v>
      </c>
      <c r="O67" s="62">
        <v>930.5</v>
      </c>
      <c r="P67" s="62">
        <f t="shared" ref="P67:P72" si="12">O67</f>
        <v>930.5</v>
      </c>
      <c r="Q67" s="60"/>
      <c r="R67" s="35"/>
      <c r="W67" s="32">
        <f t="shared" si="11"/>
        <v>15782.100000000006</v>
      </c>
    </row>
    <row r="68" ht="54.75" customHeight="1">
      <c r="A68" s="14"/>
      <c r="B68" s="72"/>
      <c r="C68" s="11" t="s">
        <v>49</v>
      </c>
      <c r="D68" s="14"/>
      <c r="E68" s="14"/>
      <c r="F68" s="11" t="s">
        <v>25</v>
      </c>
      <c r="G68" s="62">
        <f>I68+K68+M68+O68</f>
        <v>84342.779999999999</v>
      </c>
      <c r="H68" s="62">
        <f>J68+L68+N68+P68</f>
        <v>77737.699999999997</v>
      </c>
      <c r="I68" s="62">
        <f>J68+650.58+892.5+250+300+900+552+330</f>
        <v>60403.080000000002</v>
      </c>
      <c r="J68" s="62">
        <f>57048.6-J94-0.1+371.7+11.8+12-656</f>
        <v>56528</v>
      </c>
      <c r="K68" s="62">
        <v>577.5</v>
      </c>
      <c r="L68" s="62">
        <v>0</v>
      </c>
      <c r="M68" s="62">
        <f>1344+N68+808.5</f>
        <v>21556.5</v>
      </c>
      <c r="N68" s="62">
        <f>26596.099999999999-8847.2999999999993+1655.2</f>
        <v>19404</v>
      </c>
      <c r="O68" s="62">
        <v>1805.7</v>
      </c>
      <c r="P68" s="62">
        <f t="shared" si="12"/>
        <v>1805.7</v>
      </c>
      <c r="Q68" s="60"/>
      <c r="R68" s="35"/>
      <c r="W68" s="32">
        <f t="shared" si="11"/>
        <v>3875.0800000000017</v>
      </c>
    </row>
    <row r="69" ht="42" customHeight="1">
      <c r="A69" s="14"/>
      <c r="B69" s="72"/>
      <c r="C69" s="12" t="s">
        <v>50</v>
      </c>
      <c r="D69" s="14"/>
      <c r="E69" s="14"/>
      <c r="F69" s="11" t="s">
        <v>26</v>
      </c>
      <c r="G69" s="62">
        <f>I69+K69+M69+O69</f>
        <v>103006.24300000002</v>
      </c>
      <c r="H69" s="62">
        <f>J69+L69+N69+P69</f>
        <v>97282.143000000011</v>
      </c>
      <c r="I69" s="62">
        <f>J69+4199.4</f>
        <v>62837.300000000003</v>
      </c>
      <c r="J69" s="62">
        <f>58855.9-J95+42</f>
        <v>58637.900000000001</v>
      </c>
      <c r="K69" s="62">
        <v>635.29999999999995</v>
      </c>
      <c r="L69" s="62">
        <v>0</v>
      </c>
      <c r="M69" s="62">
        <f>N69+889.4</f>
        <v>38033.542999999998</v>
      </c>
      <c r="N69" s="62">
        <f>38311.442999999999-1167.3</f>
        <v>37144.142999999996</v>
      </c>
      <c r="O69" s="62">
        <f>1500.0999999999999</f>
        <v>1500.0999999999999</v>
      </c>
      <c r="P69" s="62">
        <f t="shared" si="12"/>
        <v>1500.0999999999999</v>
      </c>
      <c r="Q69" s="60"/>
      <c r="R69" s="35"/>
      <c r="W69" s="32">
        <f t="shared" si="11"/>
        <v>4199.4000000000015</v>
      </c>
    </row>
    <row r="70" ht="21.600000000000001" customHeight="1">
      <c r="A70" s="14"/>
      <c r="B70" s="72"/>
      <c r="C70" s="14"/>
      <c r="D70" s="14"/>
      <c r="E70" s="14"/>
      <c r="F70" s="11" t="s">
        <v>27</v>
      </c>
      <c r="G70" s="62">
        <f>I70+K70+M70+O70</f>
        <v>111869.00000000001</v>
      </c>
      <c r="H70" s="62">
        <f>J70+L70+N70+P70</f>
        <v>107888.10000000001</v>
      </c>
      <c r="I70" s="62">
        <f t="shared" ref="I70:I77" si="13">I69</f>
        <v>62837.300000000003</v>
      </c>
      <c r="J70" s="62">
        <v>58856.400000000001</v>
      </c>
      <c r="K70" s="62">
        <v>0</v>
      </c>
      <c r="L70" s="62">
        <v>0</v>
      </c>
      <c r="M70" s="62">
        <v>47439.400000000001</v>
      </c>
      <c r="N70" s="62">
        <v>47439.400000000001</v>
      </c>
      <c r="O70" s="62">
        <v>1592.3</v>
      </c>
      <c r="P70" s="62">
        <f t="shared" si="12"/>
        <v>1592.3</v>
      </c>
      <c r="Q70" s="60"/>
      <c r="R70" s="35"/>
      <c r="W70" s="32">
        <f t="shared" si="11"/>
        <v>3980.9000000000015</v>
      </c>
    </row>
    <row r="71" ht="21.600000000000001" customHeight="1">
      <c r="A71" s="14"/>
      <c r="B71" s="72"/>
      <c r="C71" s="14"/>
      <c r="D71" s="14"/>
      <c r="E71" s="14"/>
      <c r="F71" s="11" t="s">
        <v>28</v>
      </c>
      <c r="G71" s="62">
        <f>I71+K71+M71+O71</f>
        <v>112037.10000000001</v>
      </c>
      <c r="H71" s="62">
        <f>J71+L71+N71+P71</f>
        <v>107541.2</v>
      </c>
      <c r="I71" s="62">
        <f t="shared" si="13"/>
        <v>62837.300000000003</v>
      </c>
      <c r="J71" s="62">
        <f>59108.900000000001+24.800000000000001</f>
        <v>59133.700000000004</v>
      </c>
      <c r="K71" s="62">
        <v>0</v>
      </c>
      <c r="L71" s="62">
        <v>0</v>
      </c>
      <c r="M71" s="62">
        <f t="shared" ref="M71:M77" si="14">M70</f>
        <v>47439.400000000001</v>
      </c>
      <c r="N71" s="62">
        <v>46647.099999999999</v>
      </c>
      <c r="O71" s="62">
        <f>755.4+775+30+200-O451</f>
        <v>1760.4000000000001</v>
      </c>
      <c r="P71" s="62">
        <f t="shared" si="12"/>
        <v>1760.4000000000001</v>
      </c>
      <c r="Q71" s="60"/>
      <c r="R71" s="35"/>
      <c r="W71" s="32">
        <f t="shared" si="11"/>
        <v>3703.5999999999985</v>
      </c>
      <c r="Y71" s="74"/>
    </row>
    <row r="72" ht="21.600000000000001" customHeight="1">
      <c r="A72" s="14"/>
      <c r="B72" s="72"/>
      <c r="C72" s="14"/>
      <c r="D72" s="14"/>
      <c r="E72" s="14"/>
      <c r="F72" s="11" t="s">
        <v>29</v>
      </c>
      <c r="G72" s="62">
        <f>I72+K72+M72+O72</f>
        <v>125915.42999999999</v>
      </c>
      <c r="H72" s="62">
        <f>J72+L72+N72+P72</f>
        <v>109761.03</v>
      </c>
      <c r="I72" s="62">
        <f>J72+1500</f>
        <v>77696.529999999999</v>
      </c>
      <c r="J72" s="62">
        <v>76196.529999999999</v>
      </c>
      <c r="K72" s="62">
        <v>0</v>
      </c>
      <c r="L72" s="62">
        <v>0</v>
      </c>
      <c r="M72" s="62">
        <f t="shared" si="14"/>
        <v>47439.400000000001</v>
      </c>
      <c r="N72" s="62">
        <v>32785</v>
      </c>
      <c r="O72" s="62">
        <v>779.5</v>
      </c>
      <c r="P72" s="62">
        <f t="shared" si="12"/>
        <v>779.5</v>
      </c>
      <c r="Q72" s="60"/>
      <c r="R72" s="75"/>
      <c r="W72" s="32">
        <f t="shared" si="11"/>
        <v>1500</v>
      </c>
      <c r="Y72" s="74"/>
    </row>
    <row r="73" ht="21.600000000000001" customHeight="1">
      <c r="A73" s="14"/>
      <c r="B73" s="72"/>
      <c r="C73" s="14"/>
      <c r="D73" s="14"/>
      <c r="E73" s="14"/>
      <c r="F73" s="11" t="s">
        <v>30</v>
      </c>
      <c r="G73" s="62">
        <f>I73+K73+M73+O73</f>
        <v>132409.5</v>
      </c>
      <c r="H73" s="62">
        <f>J73+L73+N73+P73</f>
        <v>113700.39999999999</v>
      </c>
      <c r="I73" s="62">
        <v>83130</v>
      </c>
      <c r="J73" s="62">
        <v>79952.199999999997</v>
      </c>
      <c r="K73" s="62">
        <v>416</v>
      </c>
      <c r="L73" s="62">
        <v>416</v>
      </c>
      <c r="M73" s="62">
        <f t="shared" si="14"/>
        <v>47439.400000000001</v>
      </c>
      <c r="N73" s="62">
        <v>31908.099999999999</v>
      </c>
      <c r="O73" s="62">
        <f t="shared" ref="O73:O75" si="15">P73</f>
        <v>1424.0999999999999</v>
      </c>
      <c r="P73" s="62">
        <v>1424.0999999999999</v>
      </c>
      <c r="Q73" s="60"/>
      <c r="R73" s="35"/>
      <c r="W73" s="32">
        <f t="shared" si="11"/>
        <v>3177.8000000000029</v>
      </c>
    </row>
    <row r="74" s="76" customFormat="1" ht="21.600000000000001" customHeight="1">
      <c r="A74" s="14"/>
      <c r="B74" s="72"/>
      <c r="C74" s="14"/>
      <c r="D74" s="14"/>
      <c r="E74" s="14"/>
      <c r="F74" s="77" t="s">
        <v>31</v>
      </c>
      <c r="G74" s="78">
        <f>I74+K74+M74+O74</f>
        <v>140974.69999999998</v>
      </c>
      <c r="H74" s="78">
        <f>J74+L74+N74+P74</f>
        <v>121230.93000000001</v>
      </c>
      <c r="I74" s="78">
        <v>92049.600000000006</v>
      </c>
      <c r="J74" s="78">
        <f>83840.460000000006+26.190000000000001</f>
        <v>83866.650000000009</v>
      </c>
      <c r="K74" s="78">
        <f>L74</f>
        <v>432.89999999999998</v>
      </c>
      <c r="L74" s="78">
        <f>432.89999999999998</f>
        <v>432.89999999999998</v>
      </c>
      <c r="M74" s="78">
        <f t="shared" si="14"/>
        <v>47439.400000000001</v>
      </c>
      <c r="N74" s="78">
        <f>35813.900000000001+64.680000000000007</f>
        <v>35878.580000000002</v>
      </c>
      <c r="O74" s="78">
        <f t="shared" si="15"/>
        <v>1052.8</v>
      </c>
      <c r="P74" s="78">
        <v>1052.8</v>
      </c>
      <c r="Q74" s="60"/>
      <c r="R74" s="79"/>
      <c r="S74" s="80"/>
      <c r="W74" s="70">
        <f t="shared" si="11"/>
        <v>8182.9499999999971</v>
      </c>
      <c r="X74" s="80">
        <f>I74-J74</f>
        <v>8182.9499999999971</v>
      </c>
    </row>
    <row r="75" ht="21.600000000000001" customHeight="1">
      <c r="A75" s="14"/>
      <c r="B75" s="72"/>
      <c r="C75" s="14"/>
      <c r="D75" s="14"/>
      <c r="E75" s="14"/>
      <c r="F75" s="11" t="s">
        <v>32</v>
      </c>
      <c r="G75" s="62">
        <f>I75+K75+M75+O75</f>
        <v>140354</v>
      </c>
      <c r="H75" s="62">
        <f>J75+L75+N75+P75</f>
        <v>77865.699999999997</v>
      </c>
      <c r="I75" s="62">
        <v>92049.600000000006</v>
      </c>
      <c r="J75" s="62">
        <v>77000.699999999997</v>
      </c>
      <c r="K75" s="62">
        <v>0</v>
      </c>
      <c r="L75" s="62">
        <v>0</v>
      </c>
      <c r="M75" s="62">
        <f t="shared" si="14"/>
        <v>47439.400000000001</v>
      </c>
      <c r="N75" s="62">
        <v>0</v>
      </c>
      <c r="O75" s="62">
        <f t="shared" si="15"/>
        <v>865</v>
      </c>
      <c r="P75" s="62">
        <v>865</v>
      </c>
      <c r="Q75" s="60"/>
      <c r="R75" s="35"/>
      <c r="S75" s="74"/>
      <c r="W75" s="32">
        <f t="shared" si="11"/>
        <v>15048.900000000009</v>
      </c>
      <c r="X75" s="1"/>
    </row>
    <row r="76" ht="21.600000000000001" customHeight="1">
      <c r="A76" s="14"/>
      <c r="B76" s="72"/>
      <c r="C76" s="14"/>
      <c r="D76" s="14"/>
      <c r="E76" s="14"/>
      <c r="F76" s="11" t="s">
        <v>33</v>
      </c>
      <c r="G76" s="62">
        <f>I76+K76+M76+O76</f>
        <v>140354</v>
      </c>
      <c r="H76" s="62">
        <f>J76+L76+N76+P76</f>
        <v>77865.699999999997</v>
      </c>
      <c r="I76" s="62">
        <f t="shared" si="13"/>
        <v>92049.600000000006</v>
      </c>
      <c r="J76" s="62">
        <v>77000.699999999997</v>
      </c>
      <c r="K76" s="62">
        <v>0</v>
      </c>
      <c r="L76" s="62">
        <v>0</v>
      </c>
      <c r="M76" s="62">
        <f t="shared" si="14"/>
        <v>47439.400000000001</v>
      </c>
      <c r="N76" s="62">
        <v>0</v>
      </c>
      <c r="O76" s="62">
        <f t="shared" ref="O76:O77" si="16">O75</f>
        <v>865</v>
      </c>
      <c r="P76" s="62">
        <v>865</v>
      </c>
      <c r="Q76" s="60"/>
      <c r="R76" s="35"/>
      <c r="W76" s="32">
        <f t="shared" si="11"/>
        <v>15048.900000000009</v>
      </c>
    </row>
    <row r="77" ht="21.600000000000001" customHeight="1">
      <c r="A77" s="14"/>
      <c r="B77" s="72"/>
      <c r="C77" s="16"/>
      <c r="D77" s="16"/>
      <c r="E77" s="16"/>
      <c r="F77" s="11" t="s">
        <v>34</v>
      </c>
      <c r="G77" s="62">
        <f>I77+K77+M77+O77</f>
        <v>140354</v>
      </c>
      <c r="H77" s="62">
        <f>J77+L77+N77+P77</f>
        <v>64119.199999999997</v>
      </c>
      <c r="I77" s="62">
        <f t="shared" si="13"/>
        <v>92049.600000000006</v>
      </c>
      <c r="J77" s="62">
        <f>59119.199999999997+5000</f>
        <v>64119.199999999997</v>
      </c>
      <c r="K77" s="62">
        <v>0</v>
      </c>
      <c r="L77" s="62">
        <v>0</v>
      </c>
      <c r="M77" s="62">
        <f t="shared" si="14"/>
        <v>47439.400000000001</v>
      </c>
      <c r="N77" s="62">
        <v>0</v>
      </c>
      <c r="O77" s="62">
        <f t="shared" si="16"/>
        <v>865</v>
      </c>
      <c r="P77" s="62">
        <v>0</v>
      </c>
      <c r="Q77" s="60"/>
      <c r="R77" s="35"/>
      <c r="W77" s="32">
        <f t="shared" si="11"/>
        <v>27930.400000000009</v>
      </c>
    </row>
    <row r="78" ht="15.75">
      <c r="A78" s="14"/>
      <c r="B78" s="72" t="s">
        <v>51</v>
      </c>
      <c r="C78" s="12"/>
      <c r="D78" s="12"/>
      <c r="E78" s="12"/>
      <c r="F78" s="11" t="s">
        <v>21</v>
      </c>
      <c r="G78" s="62">
        <f>SUM(G79:G84)</f>
        <v>3398</v>
      </c>
      <c r="H78" s="62">
        <f>SUM(H79:H84)</f>
        <v>80</v>
      </c>
      <c r="I78" s="62">
        <f>SUM(I79:I84)</f>
        <v>2058</v>
      </c>
      <c r="J78" s="62">
        <f>SUM(J79:J84)</f>
        <v>0</v>
      </c>
      <c r="K78" s="62">
        <f>SUM(K79:K84)</f>
        <v>525</v>
      </c>
      <c r="L78" s="62">
        <f>SUM(L79:L84)</f>
        <v>0</v>
      </c>
      <c r="M78" s="62">
        <f>SUM(M79:M84)</f>
        <v>735</v>
      </c>
      <c r="N78" s="62">
        <f>SUM(N79:N84)</f>
        <v>0</v>
      </c>
      <c r="O78" s="62">
        <f>SUM(O79:O84)</f>
        <v>80</v>
      </c>
      <c r="P78" s="62">
        <f>SUM(P79:P84)</f>
        <v>80</v>
      </c>
      <c r="Q78" s="60"/>
      <c r="R78" s="35"/>
      <c r="W78" s="32">
        <f t="shared" si="11"/>
        <v>2058</v>
      </c>
    </row>
    <row r="79" s="8" customFormat="1" ht="24" customHeight="1">
      <c r="A79" s="14"/>
      <c r="B79" s="72"/>
      <c r="C79" s="14"/>
      <c r="D79" s="14"/>
      <c r="E79" s="14"/>
      <c r="F79" s="11" t="s">
        <v>23</v>
      </c>
      <c r="G79" s="62">
        <f>I79+K79+M79+O79</f>
        <v>3398</v>
      </c>
      <c r="H79" s="62">
        <f>J79+L79+N79+P79</f>
        <v>80</v>
      </c>
      <c r="I79" s="62">
        <v>2058</v>
      </c>
      <c r="J79" s="62">
        <v>0</v>
      </c>
      <c r="K79" s="62">
        <v>525</v>
      </c>
      <c r="L79" s="62"/>
      <c r="M79" s="62">
        <f>735</f>
        <v>735</v>
      </c>
      <c r="N79" s="62">
        <v>0</v>
      </c>
      <c r="O79" s="62">
        <v>80</v>
      </c>
      <c r="P79" s="62">
        <f>O79</f>
        <v>80</v>
      </c>
      <c r="Q79" s="60"/>
      <c r="R79" s="35"/>
      <c r="W79" s="32">
        <f t="shared" si="11"/>
        <v>2058</v>
      </c>
    </row>
    <row r="80" ht="39.75" customHeight="1">
      <c r="A80" s="14"/>
      <c r="B80" s="72"/>
      <c r="C80" s="14"/>
      <c r="D80" s="14"/>
      <c r="E80" s="14"/>
      <c r="F80" s="11" t="s">
        <v>25</v>
      </c>
      <c r="G80" s="81" t="s">
        <v>52</v>
      </c>
      <c r="H80" s="82"/>
      <c r="I80" s="82"/>
      <c r="J80" s="82"/>
      <c r="K80" s="82"/>
      <c r="L80" s="82"/>
      <c r="M80" s="82"/>
      <c r="N80" s="82"/>
      <c r="O80" s="82"/>
      <c r="P80" s="83"/>
      <c r="Q80" s="60"/>
      <c r="R80" s="35"/>
      <c r="W80" s="32">
        <f t="shared" si="11"/>
        <v>0</v>
      </c>
    </row>
    <row r="81" ht="15.6" hidden="1" customHeight="1">
      <c r="A81" s="14"/>
      <c r="B81" s="72"/>
      <c r="C81" s="84"/>
      <c r="D81" s="84"/>
      <c r="E81" s="84"/>
      <c r="F81" s="11" t="s">
        <v>26</v>
      </c>
      <c r="G81" s="85"/>
      <c r="H81" s="86"/>
      <c r="I81" s="86"/>
      <c r="J81" s="86"/>
      <c r="K81" s="86"/>
      <c r="L81" s="86"/>
      <c r="M81" s="86"/>
      <c r="N81" s="86"/>
      <c r="O81" s="86"/>
      <c r="P81" s="87"/>
      <c r="Q81" s="60"/>
      <c r="R81" s="35"/>
      <c r="W81" s="32">
        <f t="shared" si="11"/>
        <v>0</v>
      </c>
    </row>
    <row r="82" ht="15.6" hidden="1" customHeight="1">
      <c r="A82" s="14"/>
      <c r="B82" s="72"/>
      <c r="C82" s="84"/>
      <c r="D82" s="84"/>
      <c r="E82" s="84"/>
      <c r="F82" s="11" t="s">
        <v>27</v>
      </c>
      <c r="G82" s="85"/>
      <c r="H82" s="86"/>
      <c r="I82" s="86"/>
      <c r="J82" s="86"/>
      <c r="K82" s="86"/>
      <c r="L82" s="86"/>
      <c r="M82" s="86"/>
      <c r="N82" s="86"/>
      <c r="O82" s="86"/>
      <c r="P82" s="87"/>
      <c r="Q82" s="60"/>
      <c r="R82" s="35"/>
      <c r="W82" s="32">
        <f t="shared" si="11"/>
        <v>0</v>
      </c>
    </row>
    <row r="83" ht="15.6" hidden="1" customHeight="1">
      <c r="A83" s="14"/>
      <c r="B83" s="72"/>
      <c r="C83" s="84"/>
      <c r="D83" s="84"/>
      <c r="E83" s="84"/>
      <c r="F83" s="11" t="s">
        <v>28</v>
      </c>
      <c r="G83" s="85"/>
      <c r="H83" s="86"/>
      <c r="I83" s="86"/>
      <c r="J83" s="86"/>
      <c r="K83" s="86"/>
      <c r="L83" s="86"/>
      <c r="M83" s="86"/>
      <c r="N83" s="86"/>
      <c r="O83" s="86"/>
      <c r="P83" s="87"/>
      <c r="Q83" s="60"/>
      <c r="R83" s="35"/>
      <c r="W83" s="32">
        <f t="shared" si="11"/>
        <v>0</v>
      </c>
    </row>
    <row r="84" ht="15.6" hidden="1" customHeight="1">
      <c r="A84" s="14"/>
      <c r="B84" s="72"/>
      <c r="C84" s="84"/>
      <c r="D84" s="84"/>
      <c r="E84" s="84"/>
      <c r="F84" s="11" t="s">
        <v>29</v>
      </c>
      <c r="G84" s="88"/>
      <c r="H84" s="89"/>
      <c r="I84" s="89"/>
      <c r="J84" s="89"/>
      <c r="K84" s="89"/>
      <c r="L84" s="89"/>
      <c r="M84" s="89"/>
      <c r="N84" s="89"/>
      <c r="O84" s="89"/>
      <c r="P84" s="90"/>
      <c r="Q84" s="60"/>
      <c r="R84" s="35"/>
      <c r="W84" s="32">
        <f t="shared" si="11"/>
        <v>0</v>
      </c>
    </row>
    <row r="85" ht="15.6" hidden="1" customHeight="1">
      <c r="A85" s="14"/>
      <c r="B85" s="72" t="s">
        <v>53</v>
      </c>
      <c r="C85" s="84"/>
      <c r="D85" s="84"/>
      <c r="E85" s="84"/>
      <c r="F85" s="11" t="s">
        <v>21</v>
      </c>
      <c r="G85" s="62">
        <f>SUM(G86:G91)</f>
        <v>0</v>
      </c>
      <c r="H85" s="62">
        <f>SUM(H86:H91)</f>
        <v>0</v>
      </c>
      <c r="I85" s="62">
        <f>SUM(I86:I91)</f>
        <v>0</v>
      </c>
      <c r="J85" s="62">
        <f>SUM(J86:J91)</f>
        <v>0</v>
      </c>
      <c r="K85" s="62">
        <f>SUM(K86:K91)</f>
        <v>0</v>
      </c>
      <c r="L85" s="62">
        <f>SUM(L86:L91)</f>
        <v>0</v>
      </c>
      <c r="M85" s="62">
        <f>SUM(M86:M91)</f>
        <v>0</v>
      </c>
      <c r="N85" s="62">
        <f>SUM(N86:N91)</f>
        <v>0</v>
      </c>
      <c r="O85" s="62">
        <f>SUM(O86:O91)</f>
        <v>0</v>
      </c>
      <c r="P85" s="62">
        <f>SUM(P86:P91)</f>
        <v>0</v>
      </c>
      <c r="Q85" s="60"/>
      <c r="R85" s="35"/>
      <c r="W85" s="32">
        <f t="shared" si="11"/>
        <v>0</v>
      </c>
    </row>
    <row r="86" s="8" customFormat="1" ht="15.6" hidden="1" customHeight="1">
      <c r="A86" s="14"/>
      <c r="B86" s="72"/>
      <c r="C86" s="84"/>
      <c r="D86" s="84"/>
      <c r="E86" s="84"/>
      <c r="F86" s="11" t="s">
        <v>23</v>
      </c>
      <c r="G86" s="62">
        <f>I86+K86+M86+O86</f>
        <v>0</v>
      </c>
      <c r="H86" s="62">
        <f>J86+L86+N86+P86</f>
        <v>0</v>
      </c>
      <c r="I86" s="62"/>
      <c r="J86" s="62"/>
      <c r="K86" s="62"/>
      <c r="L86" s="62"/>
      <c r="M86" s="62"/>
      <c r="N86" s="62"/>
      <c r="O86" s="62"/>
      <c r="P86" s="62"/>
      <c r="Q86" s="60"/>
      <c r="R86" s="35"/>
      <c r="W86" s="32">
        <f t="shared" si="11"/>
        <v>0</v>
      </c>
    </row>
    <row r="87" ht="15.6" hidden="1" customHeight="1">
      <c r="A87" s="14"/>
      <c r="B87" s="72"/>
      <c r="C87" s="84"/>
      <c r="D87" s="84"/>
      <c r="E87" s="84"/>
      <c r="F87" s="11" t="s">
        <v>25</v>
      </c>
      <c r="G87" s="62">
        <f>I87+K87+M87+O87</f>
        <v>0</v>
      </c>
      <c r="H87" s="62">
        <f>J87+L87+N87+P87</f>
        <v>0</v>
      </c>
      <c r="I87" s="62"/>
      <c r="J87" s="62"/>
      <c r="K87" s="62"/>
      <c r="L87" s="62"/>
      <c r="M87" s="62"/>
      <c r="N87" s="62"/>
      <c r="O87" s="62"/>
      <c r="P87" s="62"/>
      <c r="Q87" s="60"/>
      <c r="R87" s="35"/>
      <c r="W87" s="32">
        <f t="shared" si="11"/>
        <v>0</v>
      </c>
    </row>
    <row r="88" ht="15.6" hidden="1" customHeight="1">
      <c r="A88" s="14"/>
      <c r="B88" s="72"/>
      <c r="C88" s="84"/>
      <c r="D88" s="84"/>
      <c r="E88" s="84"/>
      <c r="F88" s="11" t="s">
        <v>26</v>
      </c>
      <c r="G88" s="62">
        <f>I88+K88+M88+O88</f>
        <v>0</v>
      </c>
      <c r="H88" s="62">
        <f>J88+L88+N88+P88</f>
        <v>0</v>
      </c>
      <c r="I88" s="62"/>
      <c r="J88" s="62"/>
      <c r="K88" s="62"/>
      <c r="L88" s="62"/>
      <c r="M88" s="62"/>
      <c r="N88" s="62"/>
      <c r="O88" s="62"/>
      <c r="P88" s="62"/>
      <c r="Q88" s="60"/>
      <c r="R88" s="35"/>
      <c r="W88" s="32">
        <f t="shared" si="11"/>
        <v>0</v>
      </c>
    </row>
    <row r="89" ht="15.6" hidden="1" customHeight="1">
      <c r="A89" s="14"/>
      <c r="B89" s="72"/>
      <c r="C89" s="84"/>
      <c r="D89" s="84"/>
      <c r="E89" s="84"/>
      <c r="F89" s="11" t="s">
        <v>27</v>
      </c>
      <c r="G89" s="62">
        <f>I89+K89+M89+O89</f>
        <v>0</v>
      </c>
      <c r="H89" s="62">
        <f>J89+L89+N89+P89</f>
        <v>0</v>
      </c>
      <c r="I89" s="62"/>
      <c r="J89" s="62"/>
      <c r="K89" s="62"/>
      <c r="L89" s="62"/>
      <c r="M89" s="62"/>
      <c r="N89" s="62"/>
      <c r="O89" s="62"/>
      <c r="P89" s="62"/>
      <c r="Q89" s="60"/>
      <c r="R89" s="35"/>
      <c r="W89" s="32">
        <f t="shared" si="11"/>
        <v>0</v>
      </c>
    </row>
    <row r="90" ht="15.6" hidden="1" customHeight="1">
      <c r="A90" s="14"/>
      <c r="B90" s="72"/>
      <c r="C90" s="84"/>
      <c r="D90" s="84"/>
      <c r="E90" s="84"/>
      <c r="F90" s="11" t="s">
        <v>28</v>
      </c>
      <c r="G90" s="62">
        <f>I90+K90+M90+O90</f>
        <v>0</v>
      </c>
      <c r="H90" s="62">
        <f>J90+L90+N90+P90</f>
        <v>0</v>
      </c>
      <c r="I90" s="62"/>
      <c r="J90" s="62"/>
      <c r="K90" s="62"/>
      <c r="L90" s="62"/>
      <c r="M90" s="62"/>
      <c r="N90" s="62"/>
      <c r="O90" s="62"/>
      <c r="P90" s="62"/>
      <c r="Q90" s="60"/>
      <c r="R90" s="35"/>
      <c r="W90" s="32">
        <f t="shared" si="11"/>
        <v>0</v>
      </c>
    </row>
    <row r="91" ht="15.6" hidden="1" customHeight="1">
      <c r="A91" s="14"/>
      <c r="B91" s="72"/>
      <c r="C91" s="84"/>
      <c r="D91" s="84"/>
      <c r="E91" s="84"/>
      <c r="F91" s="11" t="s">
        <v>29</v>
      </c>
      <c r="G91" s="62">
        <f>I91+K91+M91+O91</f>
        <v>0</v>
      </c>
      <c r="H91" s="62">
        <f>J91+L91+N91+P91</f>
        <v>0</v>
      </c>
      <c r="I91" s="62"/>
      <c r="J91" s="62"/>
      <c r="K91" s="62"/>
      <c r="L91" s="62"/>
      <c r="M91" s="62"/>
      <c r="N91" s="62"/>
      <c r="O91" s="62"/>
      <c r="P91" s="62"/>
      <c r="Q91" s="60"/>
      <c r="R91" s="35"/>
      <c r="W91" s="32">
        <f t="shared" si="11"/>
        <v>0</v>
      </c>
    </row>
    <row r="92" ht="15.6" customHeight="1">
      <c r="A92" s="14"/>
      <c r="B92" s="91" t="s">
        <v>54</v>
      </c>
      <c r="C92" s="92"/>
      <c r="D92" s="93" t="s">
        <v>55</v>
      </c>
      <c r="E92" s="93" t="s">
        <v>48</v>
      </c>
      <c r="F92" s="11" t="s">
        <v>21</v>
      </c>
      <c r="G92" s="62">
        <f>SUM(G93:G103)</f>
        <v>10497.200000000001</v>
      </c>
      <c r="H92" s="62">
        <f>SUM(H93:H103)</f>
        <v>1612.1999999999998</v>
      </c>
      <c r="I92" s="62">
        <f>SUM(I93:I103)</f>
        <v>10417.200000000001</v>
      </c>
      <c r="J92" s="62">
        <f>SUM(J93:J103)</f>
        <v>1532.1999999999998</v>
      </c>
      <c r="K92" s="62">
        <f>SUM(K93:K103)</f>
        <v>0</v>
      </c>
      <c r="L92" s="62">
        <f>SUM(L93:L103)</f>
        <v>0</v>
      </c>
      <c r="M92" s="62">
        <f>SUM(M93:M103)</f>
        <v>0</v>
      </c>
      <c r="N92" s="62">
        <f>SUM(N93:N103)</f>
        <v>0</v>
      </c>
      <c r="O92" s="62">
        <f>SUM(O93:O103)</f>
        <v>80</v>
      </c>
      <c r="P92" s="62">
        <f>SUM(P93:P103)</f>
        <v>80</v>
      </c>
      <c r="Q92" s="60"/>
      <c r="R92" s="35"/>
      <c r="W92" s="32">
        <f t="shared" si="11"/>
        <v>8885</v>
      </c>
    </row>
    <row r="93" s="8" customFormat="1">
      <c r="A93" s="14"/>
      <c r="B93" s="94"/>
      <c r="C93" s="84"/>
      <c r="D93" s="95"/>
      <c r="E93" s="95"/>
      <c r="F93" s="11" t="s">
        <v>23</v>
      </c>
      <c r="G93" s="62">
        <f>I93+K93+M93+O93</f>
        <v>340</v>
      </c>
      <c r="H93" s="62">
        <f>J93+L93+N93+P93</f>
        <v>80</v>
      </c>
      <c r="I93" s="62">
        <v>260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80</v>
      </c>
      <c r="P93" s="62">
        <f>O93</f>
        <v>80</v>
      </c>
      <c r="Q93" s="60"/>
      <c r="R93" s="35"/>
      <c r="W93" s="32">
        <f t="shared" si="11"/>
        <v>260</v>
      </c>
    </row>
    <row r="94" ht="15.75">
      <c r="A94" s="14"/>
      <c r="B94" s="94"/>
      <c r="C94" s="96" t="s">
        <v>56</v>
      </c>
      <c r="D94" s="95"/>
      <c r="E94" s="95"/>
      <c r="F94" s="11" t="s">
        <v>25</v>
      </c>
      <c r="G94" s="62">
        <f>I94+K94+M94+O94</f>
        <v>1220</v>
      </c>
      <c r="H94" s="62">
        <f>J94+L94+N94+P94</f>
        <v>260</v>
      </c>
      <c r="I94" s="62">
        <f>J94+960</f>
        <v>1220</v>
      </c>
      <c r="J94" s="62">
        <v>260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0"/>
      <c r="R94" s="35"/>
      <c r="W94" s="32">
        <f t="shared" si="11"/>
        <v>960</v>
      </c>
      <c r="AD94" s="74"/>
    </row>
    <row r="95" ht="91.5" customHeight="1">
      <c r="A95" s="14"/>
      <c r="B95" s="94"/>
      <c r="C95" s="96"/>
      <c r="D95" s="95"/>
      <c r="E95" s="95"/>
      <c r="F95" s="11" t="s">
        <v>26</v>
      </c>
      <c r="G95" s="62">
        <f>I95+K95+M95+O95</f>
        <v>554</v>
      </c>
      <c r="H95" s="62">
        <f>J95+L95+N95+P95</f>
        <v>260</v>
      </c>
      <c r="I95" s="62">
        <f>J95+294</f>
        <v>554</v>
      </c>
      <c r="J95" s="62">
        <v>260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0"/>
      <c r="R95" s="35"/>
      <c r="W95" s="32">
        <f t="shared" si="11"/>
        <v>294</v>
      </c>
    </row>
    <row r="96" ht="15.75">
      <c r="A96" s="14"/>
      <c r="B96" s="94"/>
      <c r="C96" s="96"/>
      <c r="D96" s="95"/>
      <c r="E96" s="95"/>
      <c r="F96" s="11" t="s">
        <v>27</v>
      </c>
      <c r="G96" s="62">
        <f>I96+K96+M96+O96</f>
        <v>554</v>
      </c>
      <c r="H96" s="62">
        <f>J96+L96+N96+P96</f>
        <v>0</v>
      </c>
      <c r="I96" s="62">
        <f t="shared" ref="I96:I103" si="17">I95</f>
        <v>554</v>
      </c>
      <c r="J96" s="62">
        <f>260-260</f>
        <v>0</v>
      </c>
      <c r="K96" s="62">
        <v>0</v>
      </c>
      <c r="L96" s="62">
        <v>0</v>
      </c>
      <c r="M96" s="62">
        <v>0</v>
      </c>
      <c r="N96" s="62">
        <v>0</v>
      </c>
      <c r="O96" s="62">
        <f t="shared" ref="O96:O98" si="18">1.1*O95</f>
        <v>0</v>
      </c>
      <c r="P96" s="62">
        <v>0</v>
      </c>
      <c r="Q96" s="60"/>
      <c r="R96" s="35"/>
      <c r="W96" s="32">
        <f t="shared" si="11"/>
        <v>554</v>
      </c>
    </row>
    <row r="97" ht="15.75">
      <c r="A97" s="14"/>
      <c r="B97" s="94"/>
      <c r="C97" s="96"/>
      <c r="D97" s="95"/>
      <c r="E97" s="95"/>
      <c r="F97" s="11" t="s">
        <v>28</v>
      </c>
      <c r="G97" s="62">
        <f>I97+K97+M97+O97</f>
        <v>554</v>
      </c>
      <c r="H97" s="62">
        <f>J97+L97+N97+P97</f>
        <v>260</v>
      </c>
      <c r="I97" s="62">
        <f t="shared" si="17"/>
        <v>554</v>
      </c>
      <c r="J97" s="62">
        <v>260</v>
      </c>
      <c r="K97" s="62">
        <v>0</v>
      </c>
      <c r="L97" s="62">
        <v>0</v>
      </c>
      <c r="M97" s="62">
        <v>0</v>
      </c>
      <c r="N97" s="62">
        <v>0</v>
      </c>
      <c r="O97" s="62">
        <f t="shared" si="18"/>
        <v>0</v>
      </c>
      <c r="P97" s="62">
        <v>0</v>
      </c>
      <c r="Q97" s="60"/>
      <c r="R97" s="35"/>
      <c r="W97" s="32">
        <f t="shared" si="11"/>
        <v>294</v>
      </c>
    </row>
    <row r="98" ht="15.75">
      <c r="A98" s="14"/>
      <c r="B98" s="94"/>
      <c r="C98" s="96"/>
      <c r="D98" s="95"/>
      <c r="E98" s="95"/>
      <c r="F98" s="11" t="s">
        <v>29</v>
      </c>
      <c r="G98" s="62">
        <f>I98+K98+M98+O98</f>
        <v>554</v>
      </c>
      <c r="H98" s="62">
        <f>J98+L98+N98+P98</f>
        <v>132.09999999999999</v>
      </c>
      <c r="I98" s="62">
        <f t="shared" si="17"/>
        <v>554</v>
      </c>
      <c r="J98" s="62">
        <v>132.09999999999999</v>
      </c>
      <c r="K98" s="62">
        <v>0</v>
      </c>
      <c r="L98" s="62">
        <v>0</v>
      </c>
      <c r="M98" s="62">
        <v>0</v>
      </c>
      <c r="N98" s="62">
        <v>0</v>
      </c>
      <c r="O98" s="62">
        <f t="shared" si="18"/>
        <v>0</v>
      </c>
      <c r="P98" s="62">
        <v>0</v>
      </c>
      <c r="Q98" s="60"/>
      <c r="R98" s="35"/>
      <c r="W98" s="32">
        <f t="shared" si="11"/>
        <v>421.89999999999998</v>
      </c>
    </row>
    <row r="99" ht="15.75">
      <c r="A99" s="14"/>
      <c r="B99" s="94"/>
      <c r="C99" s="96"/>
      <c r="D99" s="95"/>
      <c r="E99" s="95"/>
      <c r="F99" s="11" t="s">
        <v>30</v>
      </c>
      <c r="G99" s="62">
        <f>I99+K99+M99+O99</f>
        <v>135</v>
      </c>
      <c r="H99" s="62">
        <f>J99+L99+N99+P99</f>
        <v>97</v>
      </c>
      <c r="I99" s="62">
        <v>135</v>
      </c>
      <c r="J99" s="62">
        <v>97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0"/>
      <c r="R99" s="35"/>
      <c r="W99" s="32">
        <f t="shared" si="11"/>
        <v>38</v>
      </c>
    </row>
    <row r="100" ht="15.75">
      <c r="A100" s="14"/>
      <c r="B100" s="94"/>
      <c r="C100" s="96"/>
      <c r="D100" s="95"/>
      <c r="E100" s="95"/>
      <c r="F100" s="11" t="s">
        <v>31</v>
      </c>
      <c r="G100" s="62">
        <f>I100+K100+M100+O100</f>
        <v>5987</v>
      </c>
      <c r="H100" s="62">
        <f>J100+L100+N100+P100</f>
        <v>97</v>
      </c>
      <c r="I100" s="62">
        <f>5530+97+360</f>
        <v>5987</v>
      </c>
      <c r="J100" s="62">
        <v>97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0"/>
      <c r="R100" s="35"/>
      <c r="W100" s="32">
        <f t="shared" si="11"/>
        <v>5890</v>
      </c>
      <c r="X100" s="74">
        <f>I100-J100</f>
        <v>5890</v>
      </c>
    </row>
    <row r="101" ht="15.75">
      <c r="A101" s="14"/>
      <c r="B101" s="94"/>
      <c r="C101" s="96"/>
      <c r="D101" s="95"/>
      <c r="E101" s="95"/>
      <c r="F101" s="11" t="s">
        <v>32</v>
      </c>
      <c r="G101" s="62">
        <f>I101+K101+M101+O101</f>
        <v>135</v>
      </c>
      <c r="H101" s="62">
        <f>J101+L101+N101+P101</f>
        <v>97</v>
      </c>
      <c r="I101" s="62">
        <v>135</v>
      </c>
      <c r="J101" s="62">
        <v>97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0"/>
      <c r="R101" s="35"/>
      <c r="W101" s="32">
        <f t="shared" si="11"/>
        <v>38</v>
      </c>
      <c r="X101" s="1"/>
    </row>
    <row r="102" ht="15.75">
      <c r="A102" s="14"/>
      <c r="B102" s="94"/>
      <c r="C102" s="96"/>
      <c r="D102" s="95"/>
      <c r="E102" s="95"/>
      <c r="F102" s="11" t="s">
        <v>33</v>
      </c>
      <c r="G102" s="62">
        <f>I102+K102+M102+O102</f>
        <v>232.09999999999999</v>
      </c>
      <c r="H102" s="62">
        <f>J102+L102+N102+P102</f>
        <v>97</v>
      </c>
      <c r="I102" s="62">
        <f>232.09999999999999</f>
        <v>232.09999999999999</v>
      </c>
      <c r="J102" s="62">
        <v>97</v>
      </c>
      <c r="K102" s="62"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  <c r="Q102" s="60"/>
      <c r="R102" s="35"/>
      <c r="W102" s="32">
        <f t="shared" si="11"/>
        <v>135.09999999999999</v>
      </c>
    </row>
    <row r="103" ht="15.75">
      <c r="A103" s="14"/>
      <c r="B103" s="97"/>
      <c r="C103" s="96"/>
      <c r="D103" s="98"/>
      <c r="E103" s="98"/>
      <c r="F103" s="11" t="s">
        <v>34</v>
      </c>
      <c r="G103" s="62">
        <f>I103+K103+M103+O103</f>
        <v>232.09999999999999</v>
      </c>
      <c r="H103" s="62">
        <f>J103+L103+N103+P103</f>
        <v>232.09999999999999</v>
      </c>
      <c r="I103" s="62">
        <f t="shared" si="17"/>
        <v>232.09999999999999</v>
      </c>
      <c r="J103" s="62">
        <v>232.09999999999999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0"/>
      <c r="R103" s="35"/>
      <c r="W103" s="32">
        <f t="shared" si="11"/>
        <v>0</v>
      </c>
    </row>
    <row r="104" ht="15.75" customHeight="1">
      <c r="A104" s="14"/>
      <c r="B104" s="91" t="s">
        <v>57</v>
      </c>
      <c r="F104" s="11" t="s">
        <v>21</v>
      </c>
      <c r="G104" s="62">
        <f>SUM(G105:G115)</f>
        <v>2059.6400000000003</v>
      </c>
      <c r="H104" s="62">
        <f>SUM(H105:H115)</f>
        <v>1746.6400000000001</v>
      </c>
      <c r="I104" s="62">
        <f>SUM(I105:I115)</f>
        <v>2059.6400000000003</v>
      </c>
      <c r="J104" s="62">
        <f>SUM(J105:J115)</f>
        <v>1746.6400000000001</v>
      </c>
      <c r="K104" s="62">
        <f>SUM(K105:K115)</f>
        <v>0</v>
      </c>
      <c r="L104" s="62">
        <f>SUM(L105:L115)</f>
        <v>0</v>
      </c>
      <c r="M104" s="62">
        <f>SUM(M105:M115)</f>
        <v>0</v>
      </c>
      <c r="N104" s="62">
        <f>SUM(N105:N115)</f>
        <v>0</v>
      </c>
      <c r="O104" s="62">
        <f>SUM(O105:O115)</f>
        <v>0</v>
      </c>
      <c r="P104" s="62">
        <f>SUM(P105:P115)</f>
        <v>0</v>
      </c>
      <c r="Q104" s="60"/>
      <c r="R104" s="35"/>
      <c r="W104" s="32">
        <f t="shared" si="11"/>
        <v>313.00000000000023</v>
      </c>
    </row>
    <row r="105" ht="30.75" customHeight="1">
      <c r="A105" s="14"/>
      <c r="B105" s="94"/>
      <c r="C105" s="96" t="s">
        <v>58</v>
      </c>
      <c r="D105" s="93" t="s">
        <v>55</v>
      </c>
      <c r="E105" s="93" t="s">
        <v>48</v>
      </c>
      <c r="F105" s="11" t="s">
        <v>23</v>
      </c>
      <c r="G105" s="62">
        <f>I105+K105+M105+O105</f>
        <v>155</v>
      </c>
      <c r="H105" s="62">
        <f>J105+L105+N105+P105</f>
        <v>155</v>
      </c>
      <c r="I105" s="62">
        <v>155</v>
      </c>
      <c r="J105" s="62">
        <v>155</v>
      </c>
      <c r="K105" s="62">
        <v>0</v>
      </c>
      <c r="L105" s="62">
        <v>0</v>
      </c>
      <c r="M105" s="62">
        <v>0</v>
      </c>
      <c r="N105" s="62">
        <v>0</v>
      </c>
      <c r="O105" s="62">
        <v>0</v>
      </c>
      <c r="P105" s="62">
        <v>0</v>
      </c>
      <c r="Q105" s="60"/>
      <c r="R105" s="35"/>
      <c r="W105" s="32">
        <f t="shared" si="11"/>
        <v>0</v>
      </c>
    </row>
    <row r="106" ht="25.149999999999999" customHeight="1">
      <c r="A106" s="14"/>
      <c r="B106" s="94"/>
      <c r="C106" s="93" t="s">
        <v>59</v>
      </c>
      <c r="D106" s="95"/>
      <c r="E106" s="95"/>
      <c r="F106" s="11" t="s">
        <v>25</v>
      </c>
      <c r="G106" s="62">
        <f>I106+K106+M106+O106</f>
        <v>155</v>
      </c>
      <c r="H106" s="62">
        <f>J106+L106+N106+P106</f>
        <v>155</v>
      </c>
      <c r="I106" s="62">
        <v>155</v>
      </c>
      <c r="J106" s="62">
        <v>155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0"/>
      <c r="R106" s="35"/>
      <c r="W106" s="32">
        <f t="shared" si="11"/>
        <v>0</v>
      </c>
    </row>
    <row r="107" ht="77.25" customHeight="1">
      <c r="A107" s="14"/>
      <c r="B107" s="94"/>
      <c r="C107" s="95"/>
      <c r="D107" s="95"/>
      <c r="E107" s="95"/>
      <c r="F107" s="11" t="s">
        <v>26</v>
      </c>
      <c r="G107" s="62">
        <f>I107+K107+M107+O107</f>
        <v>155</v>
      </c>
      <c r="H107" s="62">
        <f>J107+L107+N107+P107</f>
        <v>155</v>
      </c>
      <c r="I107" s="62">
        <v>155</v>
      </c>
      <c r="J107" s="62">
        <v>155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0"/>
      <c r="R107" s="35"/>
      <c r="W107" s="32">
        <f t="shared" si="11"/>
        <v>0</v>
      </c>
    </row>
    <row r="108" ht="15.75">
      <c r="A108" s="14"/>
      <c r="B108" s="94"/>
      <c r="C108" s="95"/>
      <c r="D108" s="95"/>
      <c r="E108" s="95"/>
      <c r="F108" s="11" t="s">
        <v>27</v>
      </c>
      <c r="G108" s="62">
        <f>I108+K108+M108+O108</f>
        <v>161.19999999999999</v>
      </c>
      <c r="H108" s="62">
        <f>J108+L108+N108+P108</f>
        <v>161.19999999999999</v>
      </c>
      <c r="I108" s="62">
        <f>J108</f>
        <v>161.19999999999999</v>
      </c>
      <c r="J108" s="62">
        <v>161.19999999999999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0"/>
      <c r="R108" s="35"/>
      <c r="W108" s="32">
        <f t="shared" si="11"/>
        <v>0</v>
      </c>
    </row>
    <row r="109" ht="15.75">
      <c r="A109" s="14"/>
      <c r="B109" s="94"/>
      <c r="C109" s="95"/>
      <c r="D109" s="95"/>
      <c r="E109" s="95"/>
      <c r="F109" s="11" t="s">
        <v>28</v>
      </c>
      <c r="G109" s="62">
        <f>I109+K109+M109+O109</f>
        <v>161.19999999999999</v>
      </c>
      <c r="H109" s="62">
        <f>J109+L109+N109+P109</f>
        <v>161.19999999999999</v>
      </c>
      <c r="I109" s="62">
        <f>I108</f>
        <v>161.19999999999999</v>
      </c>
      <c r="J109" s="62">
        <v>161.19999999999999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0"/>
      <c r="R109" s="35"/>
      <c r="W109" s="32">
        <f t="shared" si="11"/>
        <v>0</v>
      </c>
    </row>
    <row r="110" ht="15.75">
      <c r="A110" s="14"/>
      <c r="B110" s="94"/>
      <c r="C110" s="95"/>
      <c r="D110" s="95"/>
      <c r="E110" s="95"/>
      <c r="F110" s="11" t="s">
        <v>29</v>
      </c>
      <c r="G110" s="62">
        <f>I110+K110+M110+O110</f>
        <v>187.69999999999999</v>
      </c>
      <c r="H110" s="62">
        <f>J110+L110+N110+P110</f>
        <v>0</v>
      </c>
      <c r="I110" s="62">
        <f>187.69999999999999</f>
        <v>187.69999999999999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  <c r="Q110" s="60"/>
      <c r="R110" s="35"/>
      <c r="W110" s="32">
        <f t="shared" si="11"/>
        <v>187.69999999999999</v>
      </c>
    </row>
    <row r="111" ht="15.75">
      <c r="A111" s="14"/>
      <c r="B111" s="94"/>
      <c r="C111" s="95"/>
      <c r="D111" s="95"/>
      <c r="E111" s="95"/>
      <c r="F111" s="11" t="s">
        <v>30</v>
      </c>
      <c r="G111" s="62">
        <f>I111+K111+M111+O111</f>
        <v>187.69999999999999</v>
      </c>
      <c r="H111" s="62">
        <f>J111+L111+N111+P111</f>
        <v>187.69999999999999</v>
      </c>
      <c r="I111" s="62">
        <f>I110</f>
        <v>187.69999999999999</v>
      </c>
      <c r="J111" s="62">
        <v>187.69999999999999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  <c r="Q111" s="60"/>
      <c r="R111" s="35"/>
      <c r="W111" s="32">
        <f t="shared" si="11"/>
        <v>0</v>
      </c>
    </row>
    <row r="112" s="76" customFormat="1">
      <c r="A112" s="14"/>
      <c r="B112" s="94"/>
      <c r="C112" s="95"/>
      <c r="D112" s="95"/>
      <c r="E112" s="95"/>
      <c r="F112" s="77" t="s">
        <v>31</v>
      </c>
      <c r="G112" s="78">
        <f>I112+K112+M112+O112</f>
        <v>214.34</v>
      </c>
      <c r="H112" s="78">
        <f>J112+L112+N112+P112</f>
        <v>214.34</v>
      </c>
      <c r="I112" s="78">
        <v>214.34</v>
      </c>
      <c r="J112" s="78">
        <v>214.34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60"/>
      <c r="R112" s="68"/>
      <c r="W112" s="70">
        <f t="shared" si="11"/>
        <v>0</v>
      </c>
    </row>
    <row r="113" ht="15.75">
      <c r="A113" s="14"/>
      <c r="B113" s="94"/>
      <c r="C113" s="95"/>
      <c r="D113" s="95"/>
      <c r="E113" s="95"/>
      <c r="F113" s="11" t="s">
        <v>32</v>
      </c>
      <c r="G113" s="62">
        <f>I113+K113+M113+O113</f>
        <v>227.5</v>
      </c>
      <c r="H113" s="62">
        <f>J113+L113+N113+P113</f>
        <v>198</v>
      </c>
      <c r="I113" s="62">
        <v>227.5</v>
      </c>
      <c r="J113" s="62">
        <v>198</v>
      </c>
      <c r="K113" s="62">
        <v>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  <c r="Q113" s="60"/>
      <c r="R113" s="35"/>
      <c r="W113" s="32">
        <f t="shared" si="11"/>
        <v>29.5</v>
      </c>
    </row>
    <row r="114" ht="15.75">
      <c r="A114" s="14"/>
      <c r="B114" s="94"/>
      <c r="C114" s="95"/>
      <c r="D114" s="95"/>
      <c r="E114" s="95"/>
      <c r="F114" s="11" t="s">
        <v>33</v>
      </c>
      <c r="G114" s="62">
        <f>I114+K114+M114+O114</f>
        <v>227.5</v>
      </c>
      <c r="H114" s="62">
        <f>J114+L114+N114+P114</f>
        <v>198</v>
      </c>
      <c r="I114" s="62">
        <f t="shared" ref="I114:I115" si="19">I113</f>
        <v>227.5</v>
      </c>
      <c r="J114" s="62">
        <v>198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0"/>
      <c r="R114" s="35"/>
      <c r="W114" s="32">
        <f t="shared" si="11"/>
        <v>29.5</v>
      </c>
    </row>
    <row r="115" ht="15.75">
      <c r="A115" s="14"/>
      <c r="B115" s="97"/>
      <c r="C115" s="98"/>
      <c r="D115" s="98"/>
      <c r="E115" s="98"/>
      <c r="F115" s="11" t="s">
        <v>34</v>
      </c>
      <c r="G115" s="62">
        <f>I115+K115+M115+O115</f>
        <v>227.5</v>
      </c>
      <c r="H115" s="62">
        <f>J115+L115+N115+P115</f>
        <v>161.19999999999999</v>
      </c>
      <c r="I115" s="62">
        <f t="shared" si="19"/>
        <v>227.5</v>
      </c>
      <c r="J115" s="62">
        <v>161.19999999999999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0</v>
      </c>
      <c r="Q115" s="99"/>
      <c r="R115" s="35"/>
      <c r="W115" s="32">
        <f t="shared" si="11"/>
        <v>66.300000000000011</v>
      </c>
    </row>
    <row r="116" ht="15.75">
      <c r="A116" s="100" t="s">
        <v>60</v>
      </c>
      <c r="B116" s="58" t="s">
        <v>61</v>
      </c>
      <c r="C116" s="13"/>
      <c r="D116" s="13"/>
      <c r="E116" s="13"/>
      <c r="F116" s="13" t="s">
        <v>21</v>
      </c>
      <c r="G116" s="23">
        <f>SUM(G117:G127)</f>
        <v>288911.21999999997</v>
      </c>
      <c r="H116" s="23">
        <f>SUM(H117:H127)</f>
        <v>231771.12</v>
      </c>
      <c r="I116" s="23">
        <f>SUM(I117:I127)</f>
        <v>155091.20000000001</v>
      </c>
      <c r="J116" s="23">
        <f>SUM(J117:J127)</f>
        <v>123396.7</v>
      </c>
      <c r="K116" s="23">
        <f>SUM(K117:K127)</f>
        <v>0</v>
      </c>
      <c r="L116" s="23">
        <f>SUM(L117:L127)</f>
        <v>0</v>
      </c>
      <c r="M116" s="23">
        <f>SUM(M117:M127)</f>
        <v>46573.120000000003</v>
      </c>
      <c r="N116" s="23">
        <f>SUM(N117:N127)</f>
        <v>28627.52</v>
      </c>
      <c r="O116" s="23">
        <f>SUM(O117:O127)</f>
        <v>87246.899999999994</v>
      </c>
      <c r="P116" s="23">
        <f>SUM(P117:P127)</f>
        <v>79746.899999999994</v>
      </c>
      <c r="Q116" s="59" t="s">
        <v>36</v>
      </c>
      <c r="R116" s="35"/>
      <c r="W116" s="32">
        <f t="shared" si="11"/>
        <v>31694.500000000015</v>
      </c>
    </row>
    <row r="117" s="26" customFormat="1" ht="36.75" customHeight="1">
      <c r="A117" s="100"/>
      <c r="B117" s="101" t="s">
        <v>62</v>
      </c>
      <c r="C117" s="13" t="s">
        <v>43</v>
      </c>
      <c r="D117" s="22"/>
      <c r="E117" s="22"/>
      <c r="F117" s="13" t="s">
        <v>23</v>
      </c>
      <c r="G117" s="23">
        <f t="shared" ref="G117:G120" si="20">I117+K117+M117+O117</f>
        <v>18924</v>
      </c>
      <c r="H117" s="23">
        <f>J117+L117+N117+P117</f>
        <v>17923.5</v>
      </c>
      <c r="I117" s="23">
        <f t="shared" ref="I117:I122" si="21">I129+I141+I148</f>
        <v>8382.7999999999993</v>
      </c>
      <c r="J117" s="23">
        <f>J129+J141+J148</f>
        <v>7582.3000000000002</v>
      </c>
      <c r="K117" s="23">
        <f>K129+K141</f>
        <v>0</v>
      </c>
      <c r="L117" s="23">
        <f>L129+L141</f>
        <v>0</v>
      </c>
      <c r="M117" s="23">
        <f>M129+M141</f>
        <v>1841.2</v>
      </c>
      <c r="N117" s="23">
        <f>N129+N141</f>
        <v>1641.2</v>
      </c>
      <c r="O117" s="23">
        <f>O129+O141</f>
        <v>8700</v>
      </c>
      <c r="P117" s="23">
        <f>P129+P141</f>
        <v>8700</v>
      </c>
      <c r="Q117" s="60"/>
      <c r="R117" s="35"/>
      <c r="W117" s="32">
        <f t="shared" si="11"/>
        <v>800.49999999999909</v>
      </c>
    </row>
    <row r="118" s="26" customFormat="1" ht="15.75" customHeight="1">
      <c r="A118" s="100"/>
      <c r="B118" s="102"/>
      <c r="C118" s="22" t="s">
        <v>63</v>
      </c>
      <c r="D118" s="28"/>
      <c r="E118" s="28"/>
      <c r="F118" s="13" t="s">
        <v>25</v>
      </c>
      <c r="G118" s="23">
        <f t="shared" si="20"/>
        <v>19837</v>
      </c>
      <c r="H118" s="23">
        <f>J118+L118+N118+P118</f>
        <v>18611.699999999997</v>
      </c>
      <c r="I118" s="23">
        <f t="shared" si="21"/>
        <v>9108.7999999999993</v>
      </c>
      <c r="J118" s="23">
        <f>J130+J149</f>
        <v>8083.5</v>
      </c>
      <c r="K118" s="23">
        <f>K130+K142</f>
        <v>0</v>
      </c>
      <c r="L118" s="23">
        <f>L130+L142</f>
        <v>0</v>
      </c>
      <c r="M118" s="23">
        <f>M130+M142</f>
        <v>1652.8999999999999</v>
      </c>
      <c r="N118" s="23">
        <f>N130+N142</f>
        <v>1452.8999999999999</v>
      </c>
      <c r="O118" s="23">
        <f>O130+O142</f>
        <v>9075.2999999999993</v>
      </c>
      <c r="P118" s="23">
        <f>P130+P142</f>
        <v>9075.2999999999993</v>
      </c>
      <c r="Q118" s="60"/>
      <c r="R118" s="35"/>
      <c r="W118" s="32">
        <f t="shared" si="11"/>
        <v>1025.2999999999993</v>
      </c>
    </row>
    <row r="119" s="26" customFormat="1">
      <c r="A119" s="100"/>
      <c r="B119" s="102"/>
      <c r="C119" s="28"/>
      <c r="D119" s="28"/>
      <c r="E119" s="28"/>
      <c r="F119" s="13" t="s">
        <v>26</v>
      </c>
      <c r="G119" s="23">
        <f t="shared" si="20"/>
        <v>22904.720000000001</v>
      </c>
      <c r="H119" s="23">
        <f>J119+L119+N119+P119</f>
        <v>22362.419999999998</v>
      </c>
      <c r="I119" s="23">
        <f t="shared" si="21"/>
        <v>10458.4</v>
      </c>
      <c r="J119" s="23">
        <f t="shared" ref="J119:J122" si="22">J131+J143+J150</f>
        <v>9916.1000000000004</v>
      </c>
      <c r="K119" s="23">
        <f>K131+K143</f>
        <v>0</v>
      </c>
      <c r="L119" s="23">
        <f>L131+L143</f>
        <v>0</v>
      </c>
      <c r="M119" s="23">
        <f>M131+M143</f>
        <v>2868.4200000000001</v>
      </c>
      <c r="N119" s="23">
        <f>N131+N143</f>
        <v>2868.4200000000001</v>
      </c>
      <c r="O119" s="23">
        <f>O131+O143</f>
        <v>9577.8999999999996</v>
      </c>
      <c r="P119" s="23">
        <f>P131+P143</f>
        <v>9577.8999999999996</v>
      </c>
      <c r="Q119" s="60"/>
      <c r="R119" s="35"/>
      <c r="S119" s="11" t="s">
        <v>62</v>
      </c>
      <c r="T119" s="11"/>
      <c r="W119" s="32">
        <f t="shared" si="11"/>
        <v>542.29999999999927</v>
      </c>
    </row>
    <row r="120" s="26" customFormat="1">
      <c r="A120" s="100"/>
      <c r="B120" s="102"/>
      <c r="C120" s="28"/>
      <c r="D120" s="28"/>
      <c r="E120" s="28"/>
      <c r="F120" s="13" t="s">
        <v>27</v>
      </c>
      <c r="G120" s="23">
        <f t="shared" si="20"/>
        <v>24572.800000000003</v>
      </c>
      <c r="H120" s="23">
        <f>J120+L120+N120+P120</f>
        <v>23056</v>
      </c>
      <c r="I120" s="23">
        <f t="shared" si="21"/>
        <v>10458.4</v>
      </c>
      <c r="J120" s="23">
        <f t="shared" si="22"/>
        <v>8941.6000000000004</v>
      </c>
      <c r="K120" s="23">
        <f>K132+K144</f>
        <v>0</v>
      </c>
      <c r="L120" s="23">
        <f>L132+L144</f>
        <v>0</v>
      </c>
      <c r="M120" s="23">
        <f>M132+M144</f>
        <v>4700.8000000000002</v>
      </c>
      <c r="N120" s="23">
        <f>N132+N144</f>
        <v>4700.8000000000002</v>
      </c>
      <c r="O120" s="23">
        <f>O132+O144</f>
        <v>9413.6000000000004</v>
      </c>
      <c r="P120" s="23">
        <f>P132+P144</f>
        <v>9413.6000000000004</v>
      </c>
      <c r="Q120" s="60"/>
      <c r="R120" s="35"/>
      <c r="S120" s="11"/>
      <c r="T120" s="11"/>
      <c r="W120" s="32">
        <f t="shared" si="11"/>
        <v>1516.7999999999993</v>
      </c>
    </row>
    <row r="121" s="26" customFormat="1">
      <c r="A121" s="100"/>
      <c r="B121" s="102"/>
      <c r="C121" s="28"/>
      <c r="D121" s="28"/>
      <c r="E121" s="28"/>
      <c r="F121" s="13" t="s">
        <v>28</v>
      </c>
      <c r="G121" s="23">
        <f>I121+K121+M121+O121</f>
        <v>22769.599999999999</v>
      </c>
      <c r="H121" s="23">
        <f>J121+L121+N121+P121</f>
        <v>21237.299999999999</v>
      </c>
      <c r="I121" s="23">
        <f t="shared" si="21"/>
        <v>10458.4</v>
      </c>
      <c r="J121" s="23">
        <f t="shared" si="22"/>
        <v>9206.5</v>
      </c>
      <c r="K121" s="23">
        <f>K133+K145</f>
        <v>0</v>
      </c>
      <c r="L121" s="23">
        <f>L133+L145</f>
        <v>0</v>
      </c>
      <c r="M121" s="23">
        <f>M133+M145</f>
        <v>4735.8000000000002</v>
      </c>
      <c r="N121" s="23">
        <f>N133+N145</f>
        <v>4455.3999999999996</v>
      </c>
      <c r="O121" s="23">
        <f>O133+O145</f>
        <v>7575.3999999999996</v>
      </c>
      <c r="P121" s="23">
        <f>P133+P145</f>
        <v>7575.3999999999996</v>
      </c>
      <c r="Q121" s="60"/>
      <c r="R121" s="35"/>
      <c r="S121" s="63">
        <f t="shared" ref="S121:S127" si="23">H121/G121*100</f>
        <v>93.270413182488937</v>
      </c>
      <c r="T121" s="13" t="s">
        <v>28</v>
      </c>
      <c r="W121" s="32">
        <f t="shared" si="11"/>
        <v>1251.8999999999996</v>
      </c>
      <c r="Z121" s="103"/>
      <c r="AA121" s="103"/>
    </row>
    <row r="122" s="26" customFormat="1">
      <c r="A122" s="100"/>
      <c r="B122" s="102"/>
      <c r="C122" s="28"/>
      <c r="D122" s="28"/>
      <c r="E122" s="28"/>
      <c r="F122" s="13" t="s">
        <v>29</v>
      </c>
      <c r="G122" s="23">
        <f>I122+K122+M122+O122</f>
        <v>24579.299999999999</v>
      </c>
      <c r="H122" s="23">
        <f>J122+L122+N122+P122</f>
        <v>19256.299999999999</v>
      </c>
      <c r="I122" s="23">
        <f t="shared" si="21"/>
        <v>16993.299999999999</v>
      </c>
      <c r="J122" s="23">
        <f t="shared" si="22"/>
        <v>13325</v>
      </c>
      <c r="K122" s="23">
        <f>K134+K146</f>
        <v>0</v>
      </c>
      <c r="L122" s="23">
        <f>L134+L146</f>
        <v>0</v>
      </c>
      <c r="M122" s="23">
        <f>M134+M146</f>
        <v>4735.8000000000002</v>
      </c>
      <c r="N122" s="23">
        <f>N134+N146</f>
        <v>3081.0999999999999</v>
      </c>
      <c r="O122" s="23">
        <f>O134+O146</f>
        <v>2850.1999999999998</v>
      </c>
      <c r="P122" s="23">
        <f>P134+P146</f>
        <v>2850.1999999999998</v>
      </c>
      <c r="Q122" s="60"/>
      <c r="R122" s="35"/>
      <c r="S122" s="63">
        <f t="shared" si="23"/>
        <v>78.343565520580327</v>
      </c>
      <c r="T122" s="13" t="s">
        <v>29</v>
      </c>
      <c r="W122" s="32">
        <f t="shared" si="11"/>
        <v>3668.2999999999993</v>
      </c>
      <c r="Y122" s="32"/>
      <c r="Z122" s="103"/>
      <c r="AA122" s="103"/>
    </row>
    <row r="123" s="26" customFormat="1">
      <c r="A123" s="100"/>
      <c r="B123" s="102"/>
      <c r="C123" s="28"/>
      <c r="D123" s="28"/>
      <c r="E123" s="28"/>
      <c r="F123" s="13" t="s">
        <v>30</v>
      </c>
      <c r="G123" s="23">
        <f>I123+K123+M123+O123</f>
        <v>30144.699999999997</v>
      </c>
      <c r="H123" s="23">
        <f>J123+L123+N123+P123</f>
        <v>25993.599999999999</v>
      </c>
      <c r="I123" s="23">
        <f>I135+I154</f>
        <v>17893.299999999999</v>
      </c>
      <c r="J123" s="23">
        <f>J135+J154</f>
        <v>13742.200000000001</v>
      </c>
      <c r="K123" s="23">
        <f>K135+K154</f>
        <v>0</v>
      </c>
      <c r="L123" s="23">
        <f>L135+L154</f>
        <v>0</v>
      </c>
      <c r="M123" s="23">
        <f>M135+M154</f>
        <v>4809</v>
      </c>
      <c r="N123" s="23">
        <f>N135+N154</f>
        <v>4809</v>
      </c>
      <c r="O123" s="23">
        <f>O135+O154</f>
        <v>7442.3999999999996</v>
      </c>
      <c r="P123" s="23">
        <f>P135+P154</f>
        <v>7442.3999999999996</v>
      </c>
      <c r="Q123" s="60"/>
      <c r="R123" s="35"/>
      <c r="S123" s="63">
        <f t="shared" si="23"/>
        <v>86.229420097065159</v>
      </c>
      <c r="T123" s="13" t="s">
        <v>30</v>
      </c>
      <c r="W123" s="32">
        <f t="shared" si="11"/>
        <v>4151.0999999999985</v>
      </c>
      <c r="Z123" s="103"/>
      <c r="AA123" s="103"/>
    </row>
    <row r="124" s="26" customFormat="1">
      <c r="A124" s="100"/>
      <c r="B124" s="102"/>
      <c r="C124" s="28"/>
      <c r="D124" s="28"/>
      <c r="E124" s="28"/>
      <c r="F124" s="13" t="s">
        <v>31</v>
      </c>
      <c r="G124" s="23">
        <f>I124+K124+M124+O124</f>
        <v>32753.599999999999</v>
      </c>
      <c r="H124" s="23">
        <f>J124+L124+N124+P124</f>
        <v>28945.699999999997</v>
      </c>
      <c r="I124" s="23">
        <f>I136+I155</f>
        <v>17334.200000000001</v>
      </c>
      <c r="J124" s="23">
        <f>J136+J155</f>
        <v>13526.299999999999</v>
      </c>
      <c r="K124" s="23">
        <f>K136+K155</f>
        <v>0</v>
      </c>
      <c r="L124" s="23">
        <f>L136+L155</f>
        <v>0</v>
      </c>
      <c r="M124" s="23">
        <f>M136+M155</f>
        <v>5307.3000000000002</v>
      </c>
      <c r="N124" s="23">
        <f>N136+N155</f>
        <v>5307.3000000000002</v>
      </c>
      <c r="O124" s="23">
        <f>O136+O155</f>
        <v>10112.1</v>
      </c>
      <c r="P124" s="23">
        <f>P136+P155</f>
        <v>10112.1</v>
      </c>
      <c r="Q124" s="60"/>
      <c r="R124" s="35"/>
      <c r="S124" s="63">
        <f t="shared" si="23"/>
        <v>88.374102388745044</v>
      </c>
      <c r="T124" s="13" t="s">
        <v>31</v>
      </c>
      <c r="W124" s="32">
        <f t="shared" si="11"/>
        <v>3807.9000000000015</v>
      </c>
      <c r="Z124" s="103"/>
      <c r="AA124" s="103"/>
    </row>
    <row r="125" s="26" customFormat="1">
      <c r="A125" s="100"/>
      <c r="B125" s="102"/>
      <c r="C125" s="28"/>
      <c r="D125" s="28"/>
      <c r="E125" s="28"/>
      <c r="F125" s="13" t="s">
        <v>32</v>
      </c>
      <c r="G125" s="23">
        <f>I125+K125+M125+O125</f>
        <v>30808.5</v>
      </c>
      <c r="H125" s="23">
        <f>J125+L125+N125+P125</f>
        <v>20986.900000000001</v>
      </c>
      <c r="I125" s="23">
        <f>I137+I156</f>
        <v>18001.200000000001</v>
      </c>
      <c r="J125" s="23">
        <f>J137+J156</f>
        <v>13331.200000000001</v>
      </c>
      <c r="K125" s="23">
        <f>K137+K156</f>
        <v>0</v>
      </c>
      <c r="L125" s="23">
        <f>L137+L156</f>
        <v>0</v>
      </c>
      <c r="M125" s="23">
        <f>M137+M156</f>
        <v>5307.3000000000002</v>
      </c>
      <c r="N125" s="23">
        <f>N137+N156</f>
        <v>155.69999999999999</v>
      </c>
      <c r="O125" s="23">
        <f>O137+O156</f>
        <v>7500</v>
      </c>
      <c r="P125" s="23">
        <f>P137+P156</f>
        <v>7500</v>
      </c>
      <c r="Q125" s="60"/>
      <c r="R125" s="35"/>
      <c r="S125" s="63">
        <f t="shared" si="23"/>
        <v>68.120486229449668</v>
      </c>
      <c r="T125" s="13" t="s">
        <v>32</v>
      </c>
      <c r="W125" s="32">
        <f t="shared" ref="W125" si="24">I125-J125</f>
        <v>4670</v>
      </c>
      <c r="Z125" s="103"/>
      <c r="AA125" s="103"/>
    </row>
    <row r="126" s="26" customFormat="1">
      <c r="A126" s="100"/>
      <c r="B126" s="102"/>
      <c r="C126" s="28"/>
      <c r="D126" s="28"/>
      <c r="E126" s="28"/>
      <c r="F126" s="13" t="s">
        <v>33</v>
      </c>
      <c r="G126" s="23">
        <f>I126+K126+M126+O126</f>
        <v>30808.5</v>
      </c>
      <c r="H126" s="23">
        <f>J126+L126+N126+P126</f>
        <v>20986.900000000001</v>
      </c>
      <c r="I126" s="23">
        <f>I138+I157</f>
        <v>18001.200000000001</v>
      </c>
      <c r="J126" s="23">
        <f>J138+J157</f>
        <v>13331.200000000001</v>
      </c>
      <c r="K126" s="23">
        <f>K138+K157</f>
        <v>0</v>
      </c>
      <c r="L126" s="23">
        <f>L138+L157</f>
        <v>0</v>
      </c>
      <c r="M126" s="23">
        <f>M138+M157</f>
        <v>5307.3000000000002</v>
      </c>
      <c r="N126" s="23">
        <f>N138+N157</f>
        <v>155.69999999999999</v>
      </c>
      <c r="O126" s="23">
        <f>O138+O157</f>
        <v>7500</v>
      </c>
      <c r="P126" s="23">
        <f>P138+P157</f>
        <v>7500</v>
      </c>
      <c r="Q126" s="60"/>
      <c r="R126" s="35"/>
      <c r="S126" s="63">
        <f t="shared" si="23"/>
        <v>68.120486229449668</v>
      </c>
      <c r="T126" s="13" t="s">
        <v>33</v>
      </c>
      <c r="W126" s="32">
        <f t="shared" ref="W126:W189" si="25">I126-J126</f>
        <v>4670</v>
      </c>
      <c r="Z126" s="103"/>
      <c r="AA126" s="103"/>
    </row>
    <row r="127" s="26" customFormat="1">
      <c r="A127" s="100"/>
      <c r="B127" s="104"/>
      <c r="C127" s="49"/>
      <c r="D127" s="49"/>
      <c r="E127" s="49"/>
      <c r="F127" s="13" t="s">
        <v>34</v>
      </c>
      <c r="G127" s="23">
        <f>I127+K127+M127+O127</f>
        <v>30808.5</v>
      </c>
      <c r="H127" s="23">
        <f>J127+L127+N127+P127</f>
        <v>12410.799999999999</v>
      </c>
      <c r="I127" s="23">
        <f>I139+I158</f>
        <v>18001.200000000001</v>
      </c>
      <c r="J127" s="23">
        <f>J139+J158</f>
        <v>12410.799999999999</v>
      </c>
      <c r="K127" s="23">
        <f>K139+K158</f>
        <v>0</v>
      </c>
      <c r="L127" s="23">
        <f>L139+L158</f>
        <v>0</v>
      </c>
      <c r="M127" s="23">
        <f>M139+M158</f>
        <v>5307.3000000000002</v>
      </c>
      <c r="N127" s="23">
        <f>N139+N158</f>
        <v>0</v>
      </c>
      <c r="O127" s="23">
        <f>O139+O158</f>
        <v>7500</v>
      </c>
      <c r="P127" s="23">
        <f>P139+P158</f>
        <v>0</v>
      </c>
      <c r="Q127" s="60"/>
      <c r="R127" s="35"/>
      <c r="S127" s="63">
        <f t="shared" si="23"/>
        <v>40.283687943262407</v>
      </c>
      <c r="T127" s="13" t="s">
        <v>34</v>
      </c>
      <c r="W127" s="32">
        <f t="shared" si="25"/>
        <v>5590.4000000000015</v>
      </c>
      <c r="Z127" s="103"/>
      <c r="AA127" s="103"/>
    </row>
    <row r="128" s="26" customFormat="1">
      <c r="A128" s="100"/>
      <c r="B128" s="72" t="s">
        <v>64</v>
      </c>
      <c r="C128" s="105"/>
      <c r="D128" s="12" t="s">
        <v>47</v>
      </c>
      <c r="E128" s="12" t="s">
        <v>48</v>
      </c>
      <c r="F128" s="11" t="s">
        <v>21</v>
      </c>
      <c r="G128" s="62">
        <f>SUM(G129:G139)</f>
        <v>284858.21999999997</v>
      </c>
      <c r="H128" s="62">
        <f>SUM(H129:H139)</f>
        <v>231771.12</v>
      </c>
      <c r="I128" s="62">
        <f>SUM(I129:I139)</f>
        <v>151038.20000000001</v>
      </c>
      <c r="J128" s="62">
        <f>SUM(J129:J139)</f>
        <v>123396.7</v>
      </c>
      <c r="K128" s="62">
        <f>SUM(K129:K139)</f>
        <v>0</v>
      </c>
      <c r="L128" s="62">
        <f>SUM(L129:L139)</f>
        <v>0</v>
      </c>
      <c r="M128" s="62">
        <f>SUM(M129:M139)</f>
        <v>46573.120000000003</v>
      </c>
      <c r="N128" s="62">
        <f>SUM(N129:N139)</f>
        <v>28627.52</v>
      </c>
      <c r="O128" s="62">
        <f>SUM(O129:O139)</f>
        <v>87246.899999999994</v>
      </c>
      <c r="P128" s="62">
        <f>SUM(P129:P139)</f>
        <v>79746.899999999994</v>
      </c>
      <c r="Q128" s="60"/>
      <c r="R128" s="35"/>
      <c r="T128" s="13"/>
      <c r="W128" s="32">
        <f t="shared" si="25"/>
        <v>27641.500000000015</v>
      </c>
    </row>
    <row r="129" s="8" customFormat="1" ht="57.75" customHeight="1">
      <c r="A129" s="100"/>
      <c r="B129" s="72"/>
      <c r="C129" s="11" t="s">
        <v>65</v>
      </c>
      <c r="D129" s="14"/>
      <c r="E129" s="14"/>
      <c r="F129" s="11" t="s">
        <v>23</v>
      </c>
      <c r="G129" s="62">
        <f t="shared" ref="G129:G139" si="26">I129+K129+M129+O129</f>
        <v>18704</v>
      </c>
      <c r="H129" s="62">
        <f t="shared" ref="H129:H139" si="27">J129+L129+N129+P129</f>
        <v>17923.5</v>
      </c>
      <c r="I129" s="62">
        <f>743.8+J129-163.3</f>
        <v>8162.8000000000002</v>
      </c>
      <c r="J129" s="62">
        <v>7582.3000000000002</v>
      </c>
      <c r="K129" s="62">
        <v>0</v>
      </c>
      <c r="L129" s="62">
        <v>0</v>
      </c>
      <c r="M129" s="62">
        <f t="shared" ref="M129:M130" si="28">200+N129</f>
        <v>1841.2</v>
      </c>
      <c r="N129" s="62">
        <v>1641.2</v>
      </c>
      <c r="O129" s="62">
        <v>8700</v>
      </c>
      <c r="P129" s="62">
        <f t="shared" ref="P129:P134" si="29">O129</f>
        <v>8700</v>
      </c>
      <c r="Q129" s="60"/>
      <c r="R129" s="35"/>
      <c r="W129" s="32">
        <f t="shared" si="25"/>
        <v>580.5</v>
      </c>
    </row>
    <row r="130" ht="53.25" customHeight="1">
      <c r="A130" s="100"/>
      <c r="B130" s="72"/>
      <c r="C130" s="11" t="s">
        <v>66</v>
      </c>
      <c r="D130" s="14"/>
      <c r="E130" s="14"/>
      <c r="F130" s="11" t="s">
        <v>25</v>
      </c>
      <c r="G130" s="62">
        <f t="shared" si="26"/>
        <v>19837</v>
      </c>
      <c r="H130" s="62">
        <f t="shared" si="27"/>
        <v>18611.699999999997</v>
      </c>
      <c r="I130" s="62">
        <f>J130+75.9+193.4+46+230+480</f>
        <v>9108.7999999999993</v>
      </c>
      <c r="J130" s="62">
        <f>8393.5-250+30+30-120</f>
        <v>8083.5</v>
      </c>
      <c r="K130" s="62">
        <v>0</v>
      </c>
      <c r="L130" s="62">
        <v>0</v>
      </c>
      <c r="M130" s="62">
        <f t="shared" si="28"/>
        <v>1652.8999999999999</v>
      </c>
      <c r="N130" s="62">
        <f>3129.5999999999999+15-1691.7</f>
        <v>1452.8999999999999</v>
      </c>
      <c r="O130" s="62">
        <f>9075.3-O142</f>
        <v>9075.2999999999993</v>
      </c>
      <c r="P130" s="62">
        <f t="shared" si="29"/>
        <v>9075.2999999999993</v>
      </c>
      <c r="Q130" s="60"/>
      <c r="R130" s="35"/>
      <c r="W130" s="32">
        <f t="shared" si="25"/>
        <v>1025.2999999999993</v>
      </c>
    </row>
    <row r="131" ht="15.6" customHeight="1">
      <c r="A131" s="100"/>
      <c r="B131" s="72"/>
      <c r="C131" s="12" t="s">
        <v>67</v>
      </c>
      <c r="D131" s="14"/>
      <c r="E131" s="14"/>
      <c r="F131" s="11" t="s">
        <v>26</v>
      </c>
      <c r="G131" s="62">
        <f t="shared" si="26"/>
        <v>22904.720000000001</v>
      </c>
      <c r="H131" s="62">
        <f t="shared" si="27"/>
        <v>22362.419999999998</v>
      </c>
      <c r="I131" s="62">
        <f>J131+542.3</f>
        <v>10458.4</v>
      </c>
      <c r="J131" s="62">
        <f>9812.6000000000004+103.5</f>
        <v>9916.1000000000004</v>
      </c>
      <c r="K131" s="62">
        <v>0</v>
      </c>
      <c r="L131" s="62">
        <v>0</v>
      </c>
      <c r="M131" s="62">
        <f>N131</f>
        <v>2868.4200000000001</v>
      </c>
      <c r="N131" s="62">
        <f>2868.4200000000001</f>
        <v>2868.4200000000001</v>
      </c>
      <c r="O131" s="62">
        <f>9577.9-O143</f>
        <v>9577.8999999999996</v>
      </c>
      <c r="P131" s="62">
        <f t="shared" si="29"/>
        <v>9577.8999999999996</v>
      </c>
      <c r="Q131" s="60"/>
      <c r="R131" s="35"/>
      <c r="W131" s="32">
        <f t="shared" si="25"/>
        <v>542.29999999999927</v>
      </c>
    </row>
    <row r="132" ht="15.75">
      <c r="A132" s="100"/>
      <c r="B132" s="72"/>
      <c r="C132" s="14"/>
      <c r="D132" s="14"/>
      <c r="E132" s="14"/>
      <c r="F132" s="11" t="s">
        <v>27</v>
      </c>
      <c r="G132" s="62">
        <f t="shared" si="26"/>
        <v>24572.800000000003</v>
      </c>
      <c r="H132" s="62">
        <f t="shared" si="27"/>
        <v>23056</v>
      </c>
      <c r="I132" s="62">
        <f t="shared" ref="I132:I139" si="30">I131</f>
        <v>10458.4</v>
      </c>
      <c r="J132" s="62">
        <v>8941.6000000000004</v>
      </c>
      <c r="K132" s="62">
        <v>0</v>
      </c>
      <c r="L132" s="62">
        <v>0</v>
      </c>
      <c r="M132" s="62">
        <v>4700.8000000000002</v>
      </c>
      <c r="N132" s="62">
        <f>M132</f>
        <v>4700.8000000000002</v>
      </c>
      <c r="O132" s="62">
        <f>9413.6000000000004</f>
        <v>9413.6000000000004</v>
      </c>
      <c r="P132" s="62">
        <f t="shared" si="29"/>
        <v>9413.6000000000004</v>
      </c>
      <c r="Q132" s="60"/>
      <c r="R132" s="35"/>
      <c r="W132" s="32">
        <f t="shared" si="25"/>
        <v>1516.7999999999993</v>
      </c>
    </row>
    <row r="133" ht="15.75">
      <c r="A133" s="100"/>
      <c r="B133" s="72"/>
      <c r="C133" s="14"/>
      <c r="D133" s="14"/>
      <c r="E133" s="14"/>
      <c r="F133" s="11" t="s">
        <v>28</v>
      </c>
      <c r="G133" s="62">
        <f t="shared" si="26"/>
        <v>22769.599999999999</v>
      </c>
      <c r="H133" s="62">
        <f t="shared" si="27"/>
        <v>21237.299999999999</v>
      </c>
      <c r="I133" s="62">
        <f t="shared" si="30"/>
        <v>10458.4</v>
      </c>
      <c r="J133" s="62">
        <f>8877.3999999999996+300+29.100000000000001</f>
        <v>9206.5</v>
      </c>
      <c r="K133" s="62">
        <v>0</v>
      </c>
      <c r="L133" s="62">
        <v>0</v>
      </c>
      <c r="M133" s="62">
        <v>4735.8000000000002</v>
      </c>
      <c r="N133" s="62">
        <v>4455.3999999999996</v>
      </c>
      <c r="O133" s="62">
        <f>7548.8999999999996+26.5</f>
        <v>7575.3999999999996</v>
      </c>
      <c r="P133" s="62">
        <f t="shared" si="29"/>
        <v>7575.3999999999996</v>
      </c>
      <c r="Q133" s="60"/>
      <c r="R133" s="35"/>
      <c r="W133" s="32">
        <f t="shared" si="25"/>
        <v>1251.8999999999996</v>
      </c>
    </row>
    <row r="134" ht="15.75">
      <c r="A134" s="100"/>
      <c r="B134" s="72"/>
      <c r="C134" s="14"/>
      <c r="D134" s="14"/>
      <c r="E134" s="14"/>
      <c r="F134" s="11" t="s">
        <v>29</v>
      </c>
      <c r="G134" s="62">
        <f t="shared" si="26"/>
        <v>24579.299999999999</v>
      </c>
      <c r="H134" s="62">
        <f t="shared" si="27"/>
        <v>19256.299999999999</v>
      </c>
      <c r="I134" s="62">
        <v>16993.299999999999</v>
      </c>
      <c r="J134" s="62">
        <v>13325</v>
      </c>
      <c r="K134" s="62">
        <v>0</v>
      </c>
      <c r="L134" s="62">
        <v>0</v>
      </c>
      <c r="M134" s="62">
        <f t="shared" ref="M134:M139" si="31">M133</f>
        <v>4735.8000000000002</v>
      </c>
      <c r="N134" s="62">
        <v>3081.0999999999999</v>
      </c>
      <c r="O134" s="62">
        <v>2850.1999999999998</v>
      </c>
      <c r="P134" s="62">
        <f t="shared" si="29"/>
        <v>2850.1999999999998</v>
      </c>
      <c r="Q134" s="60"/>
      <c r="R134" s="75">
        <f>I134-J134</f>
        <v>3668.2999999999993</v>
      </c>
      <c r="W134" s="32">
        <f t="shared" si="25"/>
        <v>3668.2999999999993</v>
      </c>
      <c r="Y134" s="74"/>
      <c r="Z134" s="74"/>
    </row>
    <row r="135" ht="15.75">
      <c r="A135" s="100"/>
      <c r="B135" s="72"/>
      <c r="C135" s="14"/>
      <c r="D135" s="14"/>
      <c r="E135" s="14"/>
      <c r="F135" s="11" t="s">
        <v>30</v>
      </c>
      <c r="G135" s="62">
        <f t="shared" si="26"/>
        <v>29244.699999999997</v>
      </c>
      <c r="H135" s="62">
        <f t="shared" si="27"/>
        <v>25993.599999999999</v>
      </c>
      <c r="I135" s="62">
        <f t="shared" si="30"/>
        <v>16993.299999999999</v>
      </c>
      <c r="J135" s="62">
        <v>13742.200000000001</v>
      </c>
      <c r="K135" s="62">
        <v>0</v>
      </c>
      <c r="L135" s="62">
        <v>0</v>
      </c>
      <c r="M135" s="62">
        <f t="shared" ref="M135:M136" si="32">N135</f>
        <v>4809</v>
      </c>
      <c r="N135" s="62">
        <v>4809</v>
      </c>
      <c r="O135" s="62">
        <f t="shared" ref="O135:O137" si="33">P135</f>
        <v>7442.3999999999996</v>
      </c>
      <c r="P135" s="62">
        <v>7442.3999999999996</v>
      </c>
      <c r="Q135" s="60"/>
      <c r="R135" s="35"/>
      <c r="W135" s="32">
        <f t="shared" si="25"/>
        <v>3251.0999999999985</v>
      </c>
    </row>
    <row r="136" s="76" customFormat="1">
      <c r="A136" s="100"/>
      <c r="B136" s="72"/>
      <c r="C136" s="14"/>
      <c r="D136" s="14"/>
      <c r="E136" s="14"/>
      <c r="F136" s="77" t="s">
        <v>31</v>
      </c>
      <c r="G136" s="78">
        <f t="shared" si="26"/>
        <v>32520.599999999999</v>
      </c>
      <c r="H136" s="78">
        <f t="shared" si="27"/>
        <v>28945.699999999997</v>
      </c>
      <c r="I136" s="78">
        <f>3600+13501.200000000001</f>
        <v>17101.200000000001</v>
      </c>
      <c r="J136" s="78">
        <f>13526.299999999999</f>
        <v>13526.299999999999</v>
      </c>
      <c r="K136" s="78">
        <v>0</v>
      </c>
      <c r="L136" s="78">
        <v>0</v>
      </c>
      <c r="M136" s="78">
        <f t="shared" si="32"/>
        <v>5307.3000000000002</v>
      </c>
      <c r="N136" s="78">
        <f>5307.3000000000002</f>
        <v>5307.3000000000002</v>
      </c>
      <c r="O136" s="78">
        <f t="shared" si="33"/>
        <v>10112.1</v>
      </c>
      <c r="P136" s="78">
        <v>10112.1</v>
      </c>
      <c r="Q136" s="60"/>
      <c r="R136" s="68"/>
      <c r="W136" s="70">
        <f t="shared" si="25"/>
        <v>3574.9000000000015</v>
      </c>
      <c r="X136" s="80">
        <f>I136-J136</f>
        <v>3574.9000000000015</v>
      </c>
    </row>
    <row r="137" ht="15.75">
      <c r="A137" s="100"/>
      <c r="B137" s="72"/>
      <c r="C137" s="14"/>
      <c r="D137" s="14"/>
      <c r="E137" s="14"/>
      <c r="F137" s="11" t="s">
        <v>32</v>
      </c>
      <c r="G137" s="62">
        <f t="shared" si="26"/>
        <v>29908.5</v>
      </c>
      <c r="H137" s="62">
        <f t="shared" si="27"/>
        <v>20986.900000000001</v>
      </c>
      <c r="I137" s="62">
        <f t="shared" si="30"/>
        <v>17101.200000000001</v>
      </c>
      <c r="J137" s="62">
        <v>13331.200000000001</v>
      </c>
      <c r="K137" s="62">
        <v>0</v>
      </c>
      <c r="L137" s="62">
        <v>0</v>
      </c>
      <c r="M137" s="62">
        <f t="shared" si="31"/>
        <v>5307.3000000000002</v>
      </c>
      <c r="N137" s="62">
        <f t="shared" ref="N137:N138" si="34">94.700000000000003+61</f>
        <v>155.69999999999999</v>
      </c>
      <c r="O137" s="62">
        <f t="shared" si="33"/>
        <v>7500</v>
      </c>
      <c r="P137" s="62">
        <v>7500</v>
      </c>
      <c r="Q137" s="60"/>
      <c r="R137" s="35"/>
      <c r="S137" s="74">
        <f>I137-J137</f>
        <v>3770</v>
      </c>
      <c r="W137" s="32">
        <f t="shared" si="25"/>
        <v>3770</v>
      </c>
      <c r="X137" s="1"/>
    </row>
    <row r="138" ht="15.75">
      <c r="A138" s="100"/>
      <c r="B138" s="72"/>
      <c r="C138" s="14"/>
      <c r="D138" s="14"/>
      <c r="E138" s="14"/>
      <c r="F138" s="11" t="s">
        <v>33</v>
      </c>
      <c r="G138" s="62">
        <f t="shared" si="26"/>
        <v>29908.5</v>
      </c>
      <c r="H138" s="62">
        <f t="shared" si="27"/>
        <v>20986.900000000001</v>
      </c>
      <c r="I138" s="62">
        <f t="shared" si="30"/>
        <v>17101.200000000001</v>
      </c>
      <c r="J138" s="62">
        <v>13331.200000000001</v>
      </c>
      <c r="K138" s="62">
        <v>0</v>
      </c>
      <c r="L138" s="62">
        <v>0</v>
      </c>
      <c r="M138" s="62">
        <f t="shared" si="31"/>
        <v>5307.3000000000002</v>
      </c>
      <c r="N138" s="62">
        <f t="shared" si="34"/>
        <v>155.69999999999999</v>
      </c>
      <c r="O138" s="62">
        <f t="shared" ref="O138:O139" si="35">O137</f>
        <v>7500</v>
      </c>
      <c r="P138" s="62">
        <v>7500</v>
      </c>
      <c r="Q138" s="60"/>
      <c r="R138" s="35"/>
      <c r="S138" s="1"/>
      <c r="W138" s="32">
        <f t="shared" si="25"/>
        <v>3770</v>
      </c>
    </row>
    <row r="139" ht="37.899999999999999" customHeight="1">
      <c r="A139" s="100"/>
      <c r="B139" s="72"/>
      <c r="C139" s="16"/>
      <c r="D139" s="16"/>
      <c r="E139" s="16"/>
      <c r="F139" s="11" t="s">
        <v>34</v>
      </c>
      <c r="G139" s="62">
        <f t="shared" si="26"/>
        <v>29908.5</v>
      </c>
      <c r="H139" s="62">
        <f t="shared" si="27"/>
        <v>12410.799999999999</v>
      </c>
      <c r="I139" s="62">
        <f t="shared" si="30"/>
        <v>17101.200000000001</v>
      </c>
      <c r="J139" s="62">
        <f>11410.799999999999+1000</f>
        <v>12410.799999999999</v>
      </c>
      <c r="K139" s="62">
        <v>0</v>
      </c>
      <c r="L139" s="62">
        <v>0</v>
      </c>
      <c r="M139" s="62">
        <f t="shared" si="31"/>
        <v>5307.3000000000002</v>
      </c>
      <c r="N139" s="62">
        <v>0</v>
      </c>
      <c r="O139" s="62">
        <f t="shared" si="35"/>
        <v>7500</v>
      </c>
      <c r="P139" s="62">
        <v>0</v>
      </c>
      <c r="Q139" s="60"/>
      <c r="R139" s="35"/>
      <c r="W139" s="32">
        <f t="shared" si="25"/>
        <v>4690.4000000000015</v>
      </c>
    </row>
    <row r="140" s="26" customFormat="1">
      <c r="A140" s="100"/>
      <c r="B140" s="106" t="s">
        <v>68</v>
      </c>
      <c r="C140" s="12" t="s">
        <v>69</v>
      </c>
      <c r="D140" s="12"/>
      <c r="E140" s="12"/>
      <c r="F140" s="11" t="s">
        <v>21</v>
      </c>
      <c r="G140" s="62">
        <f>SUM(G141:G146)</f>
        <v>220</v>
      </c>
      <c r="H140" s="62">
        <f>SUM(H141:H146)</f>
        <v>0</v>
      </c>
      <c r="I140" s="62">
        <f>SUM(I141:I146)</f>
        <v>220</v>
      </c>
      <c r="J140" s="62">
        <f>SUM(J141:J146)</f>
        <v>0</v>
      </c>
      <c r="K140" s="62">
        <f>SUM(K141:K146)</f>
        <v>0</v>
      </c>
      <c r="L140" s="62">
        <f>SUM(L141:L146)</f>
        <v>0</v>
      </c>
      <c r="M140" s="62">
        <f>SUM(M141:M146)</f>
        <v>0</v>
      </c>
      <c r="N140" s="62">
        <f>SUM(N141:N146)</f>
        <v>0</v>
      </c>
      <c r="O140" s="62">
        <f>SUM(O141:O146)</f>
        <v>0</v>
      </c>
      <c r="P140" s="62">
        <f>SUM(P141:P146)</f>
        <v>0</v>
      </c>
      <c r="Q140" s="60"/>
      <c r="R140" s="35"/>
      <c r="W140" s="32">
        <f t="shared" si="25"/>
        <v>220</v>
      </c>
    </row>
    <row r="141" s="73" customFormat="1" ht="88.150000000000006" customHeight="1">
      <c r="A141" s="100"/>
      <c r="B141" s="107"/>
      <c r="C141" s="14"/>
      <c r="D141" s="14"/>
      <c r="E141" s="14"/>
      <c r="F141" s="11" t="s">
        <v>23</v>
      </c>
      <c r="G141" s="62">
        <f>I141+K141+M141+O141</f>
        <v>220</v>
      </c>
      <c r="H141" s="62">
        <f>J141+L141+N141+P141</f>
        <v>0</v>
      </c>
      <c r="I141" s="62">
        <v>220</v>
      </c>
      <c r="J141" s="62">
        <v>0</v>
      </c>
      <c r="K141" s="62">
        <v>0</v>
      </c>
      <c r="L141" s="62">
        <v>0</v>
      </c>
      <c r="M141" s="62">
        <v>0</v>
      </c>
      <c r="N141" s="62">
        <v>0</v>
      </c>
      <c r="O141" s="62">
        <v>0</v>
      </c>
      <c r="P141" s="62">
        <f>O141</f>
        <v>0</v>
      </c>
      <c r="Q141" s="60"/>
      <c r="R141" s="108"/>
      <c r="W141" s="32">
        <f t="shared" si="25"/>
        <v>220</v>
      </c>
    </row>
    <row r="142" ht="76.150000000000006" customHeight="1">
      <c r="A142" s="100"/>
      <c r="B142" s="107"/>
      <c r="C142" s="14"/>
      <c r="D142" s="14"/>
      <c r="E142" s="14"/>
      <c r="F142" s="11" t="s">
        <v>25</v>
      </c>
      <c r="G142" s="81" t="s">
        <v>70</v>
      </c>
      <c r="H142" s="82"/>
      <c r="I142" s="82"/>
      <c r="J142" s="82"/>
      <c r="K142" s="82"/>
      <c r="L142" s="82"/>
      <c r="M142" s="82"/>
      <c r="N142" s="82"/>
      <c r="O142" s="82"/>
      <c r="P142" s="83"/>
      <c r="Q142" s="60"/>
      <c r="R142" s="35"/>
      <c r="W142" s="32">
        <f t="shared" si="25"/>
        <v>0</v>
      </c>
    </row>
    <row r="143" ht="15.75" hidden="1">
      <c r="A143" s="100"/>
      <c r="B143" s="107"/>
      <c r="C143" s="14"/>
      <c r="D143" s="14"/>
      <c r="E143" s="14"/>
      <c r="F143" s="11" t="s">
        <v>26</v>
      </c>
      <c r="G143" s="85"/>
      <c r="H143" s="86"/>
      <c r="I143" s="86"/>
      <c r="J143" s="86"/>
      <c r="K143" s="86"/>
      <c r="L143" s="86"/>
      <c r="M143" s="86"/>
      <c r="N143" s="86"/>
      <c r="O143" s="86"/>
      <c r="P143" s="87"/>
      <c r="Q143" s="60"/>
      <c r="R143" s="35"/>
      <c r="W143" s="32">
        <f t="shared" si="25"/>
        <v>0</v>
      </c>
    </row>
    <row r="144" ht="15.75" hidden="1">
      <c r="A144" s="100"/>
      <c r="B144" s="107"/>
      <c r="C144" s="14"/>
      <c r="D144" s="14"/>
      <c r="E144" s="14"/>
      <c r="F144" s="11" t="s">
        <v>27</v>
      </c>
      <c r="G144" s="85"/>
      <c r="H144" s="86"/>
      <c r="I144" s="86"/>
      <c r="J144" s="86"/>
      <c r="K144" s="86"/>
      <c r="L144" s="86"/>
      <c r="M144" s="86"/>
      <c r="N144" s="86"/>
      <c r="O144" s="86"/>
      <c r="P144" s="87"/>
      <c r="Q144" s="60"/>
      <c r="R144" s="35"/>
      <c r="W144" s="32">
        <f t="shared" si="25"/>
        <v>0</v>
      </c>
    </row>
    <row r="145" ht="15.75" hidden="1">
      <c r="A145" s="100"/>
      <c r="B145" s="107"/>
      <c r="C145" s="14"/>
      <c r="D145" s="14"/>
      <c r="E145" s="14"/>
      <c r="F145" s="11" t="s">
        <v>28</v>
      </c>
      <c r="G145" s="85"/>
      <c r="H145" s="86"/>
      <c r="I145" s="86"/>
      <c r="J145" s="86"/>
      <c r="K145" s="86"/>
      <c r="L145" s="86"/>
      <c r="M145" s="86"/>
      <c r="N145" s="86"/>
      <c r="O145" s="86"/>
      <c r="P145" s="87"/>
      <c r="Q145" s="60"/>
      <c r="R145" s="35"/>
      <c r="W145" s="32">
        <f t="shared" si="25"/>
        <v>0</v>
      </c>
    </row>
    <row r="146" ht="15.75" hidden="1">
      <c r="A146" s="109"/>
      <c r="B146" s="110"/>
      <c r="C146" s="16"/>
      <c r="D146" s="16"/>
      <c r="E146" s="16"/>
      <c r="F146" s="11" t="s">
        <v>29</v>
      </c>
      <c r="G146" s="88"/>
      <c r="H146" s="89"/>
      <c r="I146" s="89"/>
      <c r="J146" s="89"/>
      <c r="K146" s="89"/>
      <c r="L146" s="89"/>
      <c r="M146" s="89"/>
      <c r="N146" s="89"/>
      <c r="O146" s="89"/>
      <c r="P146" s="90"/>
      <c r="Q146" s="99"/>
      <c r="R146" s="35"/>
      <c r="W146" s="32">
        <f t="shared" si="25"/>
        <v>0</v>
      </c>
    </row>
    <row r="147" ht="15.75">
      <c r="A147" s="100"/>
      <c r="B147" s="91" t="s">
        <v>71</v>
      </c>
      <c r="C147" s="93" t="s">
        <v>69</v>
      </c>
      <c r="D147" s="93" t="s">
        <v>55</v>
      </c>
      <c r="E147" s="93" t="s">
        <v>48</v>
      </c>
      <c r="F147" s="11" t="s">
        <v>21</v>
      </c>
      <c r="G147" s="23">
        <f>SUM(G148:G158)</f>
        <v>3833</v>
      </c>
      <c r="H147" s="23">
        <f>SUM(H148:H158)</f>
        <v>0</v>
      </c>
      <c r="I147" s="23">
        <f>SUM(I148:I158)</f>
        <v>3833</v>
      </c>
      <c r="J147" s="23">
        <f>SUM(J148:J158)</f>
        <v>0</v>
      </c>
      <c r="K147" s="23">
        <f>SUM(K148:K158)</f>
        <v>0</v>
      </c>
      <c r="L147" s="23">
        <f>SUM(L148:L158)</f>
        <v>0</v>
      </c>
      <c r="M147" s="23">
        <f>SUM(M148:M158)</f>
        <v>0</v>
      </c>
      <c r="N147" s="23">
        <f>SUM(N148:N158)</f>
        <v>0</v>
      </c>
      <c r="O147" s="23">
        <f>SUM(O148:O158)</f>
        <v>0</v>
      </c>
      <c r="P147" s="23">
        <f>SUM(P148:P158)</f>
        <v>0</v>
      </c>
      <c r="Q147" s="60"/>
      <c r="R147" s="35"/>
      <c r="W147" s="32">
        <f t="shared" si="25"/>
        <v>3833</v>
      </c>
    </row>
    <row r="148" s="8" customFormat="1" ht="15.6" customHeight="1">
      <c r="A148" s="100"/>
      <c r="B148" s="94"/>
      <c r="C148" s="95"/>
      <c r="D148" s="95"/>
      <c r="E148" s="95"/>
      <c r="F148" s="11" t="s">
        <v>23</v>
      </c>
      <c r="G148" s="23">
        <f t="shared" ref="G148:G158" si="36">I148+K148+M148+O148</f>
        <v>0</v>
      </c>
      <c r="H148" s="23">
        <f t="shared" ref="H148:H158" si="37">J148+L148+N148+P148</f>
        <v>0</v>
      </c>
      <c r="I148" s="62">
        <v>0</v>
      </c>
      <c r="J148" s="62">
        <v>0</v>
      </c>
      <c r="K148" s="62">
        <v>0</v>
      </c>
      <c r="L148" s="62">
        <v>0</v>
      </c>
      <c r="M148" s="62">
        <v>0</v>
      </c>
      <c r="N148" s="62">
        <v>0</v>
      </c>
      <c r="O148" s="62">
        <v>0</v>
      </c>
      <c r="P148" s="62">
        <v>0</v>
      </c>
      <c r="Q148" s="60"/>
      <c r="R148" s="35"/>
      <c r="W148" s="32">
        <f t="shared" si="25"/>
        <v>0</v>
      </c>
    </row>
    <row r="149" ht="94.5" customHeight="1">
      <c r="A149" s="100"/>
      <c r="B149" s="94"/>
      <c r="C149" s="95"/>
      <c r="D149" s="95"/>
      <c r="E149" s="95"/>
      <c r="F149" s="11" t="s">
        <v>25</v>
      </c>
      <c r="G149" s="23">
        <f t="shared" si="36"/>
        <v>0</v>
      </c>
      <c r="H149" s="23">
        <f t="shared" si="37"/>
        <v>0</v>
      </c>
      <c r="I149" s="62">
        <v>0</v>
      </c>
      <c r="J149" s="62">
        <v>0</v>
      </c>
      <c r="K149" s="62">
        <v>0</v>
      </c>
      <c r="L149" s="62">
        <v>0</v>
      </c>
      <c r="M149" s="62">
        <v>0</v>
      </c>
      <c r="N149" s="62">
        <v>0</v>
      </c>
      <c r="O149" s="62">
        <v>0</v>
      </c>
      <c r="P149" s="62">
        <v>0</v>
      </c>
      <c r="Q149" s="60"/>
      <c r="R149" s="35"/>
      <c r="W149" s="32">
        <f t="shared" si="25"/>
        <v>0</v>
      </c>
    </row>
    <row r="150" ht="15.75">
      <c r="A150" s="100"/>
      <c r="B150" s="94"/>
      <c r="C150" s="95"/>
      <c r="D150" s="95"/>
      <c r="E150" s="95"/>
      <c r="F150" s="11" t="s">
        <v>26</v>
      </c>
      <c r="G150" s="23">
        <f t="shared" si="36"/>
        <v>0</v>
      </c>
      <c r="H150" s="23">
        <f t="shared" si="37"/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2">
        <v>0</v>
      </c>
      <c r="Q150" s="60"/>
      <c r="R150" s="35"/>
      <c r="W150" s="32">
        <f t="shared" si="25"/>
        <v>0</v>
      </c>
    </row>
    <row r="151" ht="15.75">
      <c r="A151" s="100"/>
      <c r="B151" s="94"/>
      <c r="C151" s="95"/>
      <c r="D151" s="95"/>
      <c r="E151" s="95"/>
      <c r="F151" s="11" t="s">
        <v>27</v>
      </c>
      <c r="G151" s="23">
        <f t="shared" si="36"/>
        <v>0</v>
      </c>
      <c r="H151" s="23">
        <f t="shared" si="37"/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0</v>
      </c>
      <c r="P151" s="62">
        <v>0</v>
      </c>
      <c r="Q151" s="60"/>
      <c r="R151" s="35"/>
      <c r="W151" s="32">
        <f t="shared" si="25"/>
        <v>0</v>
      </c>
    </row>
    <row r="152" ht="15.75">
      <c r="A152" s="100"/>
      <c r="B152" s="94"/>
      <c r="C152" s="95"/>
      <c r="D152" s="95"/>
      <c r="E152" s="95"/>
      <c r="F152" s="11" t="s">
        <v>28</v>
      </c>
      <c r="G152" s="23">
        <f t="shared" si="36"/>
        <v>0</v>
      </c>
      <c r="H152" s="23">
        <f t="shared" si="37"/>
        <v>0</v>
      </c>
      <c r="I152" s="62">
        <v>0</v>
      </c>
      <c r="J152" s="62">
        <v>0</v>
      </c>
      <c r="K152" s="62">
        <v>0</v>
      </c>
      <c r="L152" s="62">
        <v>0</v>
      </c>
      <c r="M152" s="62">
        <v>0</v>
      </c>
      <c r="N152" s="62">
        <v>0</v>
      </c>
      <c r="O152" s="62">
        <v>0</v>
      </c>
      <c r="P152" s="62">
        <v>0</v>
      </c>
      <c r="Q152" s="60"/>
      <c r="R152" s="35"/>
      <c r="W152" s="32">
        <f t="shared" si="25"/>
        <v>0</v>
      </c>
    </row>
    <row r="153" ht="15.75">
      <c r="A153" s="100"/>
      <c r="B153" s="94"/>
      <c r="C153" s="95"/>
      <c r="D153" s="95"/>
      <c r="E153" s="95"/>
      <c r="F153" s="11" t="s">
        <v>29</v>
      </c>
      <c r="G153" s="23">
        <f t="shared" si="36"/>
        <v>0</v>
      </c>
      <c r="H153" s="23">
        <f t="shared" si="37"/>
        <v>0</v>
      </c>
      <c r="I153" s="62">
        <v>0</v>
      </c>
      <c r="J153" s="62">
        <v>0</v>
      </c>
      <c r="K153" s="62">
        <v>0</v>
      </c>
      <c r="L153" s="62">
        <v>0</v>
      </c>
      <c r="M153" s="62">
        <v>0</v>
      </c>
      <c r="N153" s="62">
        <v>0</v>
      </c>
      <c r="O153" s="62">
        <v>0</v>
      </c>
      <c r="P153" s="62">
        <v>0</v>
      </c>
      <c r="Q153" s="60"/>
      <c r="R153" s="35"/>
      <c r="W153" s="32">
        <f t="shared" si="25"/>
        <v>0</v>
      </c>
    </row>
    <row r="154" ht="15.75">
      <c r="A154" s="100"/>
      <c r="B154" s="94"/>
      <c r="C154" s="95"/>
      <c r="D154" s="95"/>
      <c r="E154" s="95"/>
      <c r="F154" s="11" t="s">
        <v>30</v>
      </c>
      <c r="G154" s="23">
        <f t="shared" si="36"/>
        <v>900</v>
      </c>
      <c r="H154" s="23">
        <f t="shared" si="37"/>
        <v>0</v>
      </c>
      <c r="I154" s="62">
        <v>900</v>
      </c>
      <c r="J154" s="62">
        <v>0</v>
      </c>
      <c r="K154" s="62">
        <v>0</v>
      </c>
      <c r="L154" s="62">
        <v>0</v>
      </c>
      <c r="M154" s="62">
        <v>0</v>
      </c>
      <c r="N154" s="62">
        <v>0</v>
      </c>
      <c r="O154" s="62">
        <v>0</v>
      </c>
      <c r="P154" s="62">
        <v>0</v>
      </c>
      <c r="Q154" s="60"/>
      <c r="R154" s="35"/>
      <c r="W154" s="32">
        <f t="shared" si="25"/>
        <v>900</v>
      </c>
    </row>
    <row r="155" ht="15.75">
      <c r="A155" s="100"/>
      <c r="B155" s="94"/>
      <c r="C155" s="95"/>
      <c r="D155" s="95"/>
      <c r="E155" s="95"/>
      <c r="F155" s="11" t="s">
        <v>31</v>
      </c>
      <c r="G155" s="23">
        <f t="shared" si="36"/>
        <v>233</v>
      </c>
      <c r="H155" s="23">
        <f t="shared" si="37"/>
        <v>0</v>
      </c>
      <c r="I155" s="62">
        <v>233</v>
      </c>
      <c r="J155" s="62">
        <v>0</v>
      </c>
      <c r="K155" s="62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0</v>
      </c>
      <c r="Q155" s="60"/>
      <c r="R155" s="35"/>
      <c r="W155" s="32">
        <f t="shared" si="25"/>
        <v>233</v>
      </c>
    </row>
    <row r="156" ht="15.75">
      <c r="A156" s="100"/>
      <c r="B156" s="94"/>
      <c r="C156" s="95"/>
      <c r="D156" s="95"/>
      <c r="E156" s="95"/>
      <c r="F156" s="11" t="s">
        <v>32</v>
      </c>
      <c r="G156" s="23">
        <f t="shared" si="36"/>
        <v>900</v>
      </c>
      <c r="H156" s="23">
        <f t="shared" si="37"/>
        <v>0</v>
      </c>
      <c r="I156" s="62">
        <v>900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0</v>
      </c>
      <c r="Q156" s="60"/>
      <c r="R156" s="35"/>
      <c r="W156" s="32">
        <f t="shared" si="25"/>
        <v>900</v>
      </c>
    </row>
    <row r="157" ht="15.75">
      <c r="A157" s="100"/>
      <c r="B157" s="94"/>
      <c r="C157" s="95"/>
      <c r="D157" s="95"/>
      <c r="E157" s="95"/>
      <c r="F157" s="11" t="s">
        <v>33</v>
      </c>
      <c r="G157" s="23">
        <f t="shared" si="36"/>
        <v>900</v>
      </c>
      <c r="H157" s="23">
        <f t="shared" si="37"/>
        <v>0</v>
      </c>
      <c r="I157" s="62">
        <v>900</v>
      </c>
      <c r="J157" s="62">
        <v>0</v>
      </c>
      <c r="K157" s="62">
        <v>0</v>
      </c>
      <c r="L157" s="62">
        <v>0</v>
      </c>
      <c r="M157" s="62">
        <v>0</v>
      </c>
      <c r="N157" s="62">
        <v>0</v>
      </c>
      <c r="O157" s="62">
        <v>0</v>
      </c>
      <c r="P157" s="62">
        <v>0</v>
      </c>
      <c r="Q157" s="60"/>
      <c r="R157" s="35"/>
      <c r="W157" s="32">
        <f t="shared" si="25"/>
        <v>900</v>
      </c>
    </row>
    <row r="158" ht="15.75">
      <c r="A158" s="100"/>
      <c r="B158" s="97"/>
      <c r="C158" s="98"/>
      <c r="D158" s="98"/>
      <c r="E158" s="98"/>
      <c r="F158" s="11" t="s">
        <v>34</v>
      </c>
      <c r="G158" s="23">
        <f t="shared" si="36"/>
        <v>900</v>
      </c>
      <c r="H158" s="23">
        <f t="shared" si="37"/>
        <v>0</v>
      </c>
      <c r="I158" s="62">
        <v>900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0</v>
      </c>
      <c r="Q158" s="60"/>
      <c r="R158" s="35"/>
      <c r="W158" s="32">
        <f t="shared" si="25"/>
        <v>900</v>
      </c>
    </row>
    <row r="159" ht="18" customHeight="1">
      <c r="A159" s="12"/>
      <c r="B159" s="58" t="s">
        <v>72</v>
      </c>
      <c r="C159" s="13"/>
      <c r="D159" s="13"/>
      <c r="E159" s="13"/>
      <c r="F159" s="13" t="s">
        <v>21</v>
      </c>
      <c r="G159" s="23">
        <f>SUM(G160:G170)</f>
        <v>2588670.54</v>
      </c>
      <c r="H159" s="23">
        <f>SUM(H160:H170)</f>
        <v>2212506.6000000001</v>
      </c>
      <c r="I159" s="23">
        <f>SUM(I160:I170)</f>
        <v>1645296.4399999999</v>
      </c>
      <c r="J159" s="23">
        <f>SUM(J160:J170)</f>
        <v>1493706.2999999998</v>
      </c>
      <c r="K159" s="23">
        <f>SUM(K160:K170)</f>
        <v>7627.1000000000004</v>
      </c>
      <c r="L159" s="23">
        <f>SUM(L160:L170)</f>
        <v>127.09999999999999</v>
      </c>
      <c r="M159" s="23">
        <f>SUM(M160:M170)</f>
        <v>477868.29999999993</v>
      </c>
      <c r="N159" s="23">
        <f>SUM(N160:N170)</f>
        <v>296392.60000000003</v>
      </c>
      <c r="O159" s="23">
        <f>SUM(O160:O170)</f>
        <v>457878.69999999995</v>
      </c>
      <c r="P159" s="23">
        <f>SUM(P160:P170)</f>
        <v>422280.59999999998</v>
      </c>
      <c r="Q159" s="59" t="s">
        <v>36</v>
      </c>
      <c r="R159" s="35"/>
      <c r="W159" s="32">
        <f t="shared" si="25"/>
        <v>151590.14000000013</v>
      </c>
    </row>
    <row r="160" s="26" customFormat="1" ht="32.25" customHeight="1">
      <c r="A160" s="14"/>
      <c r="B160" s="58" t="s">
        <v>73</v>
      </c>
      <c r="C160" s="13" t="s">
        <v>74</v>
      </c>
      <c r="D160" s="22"/>
      <c r="E160" s="22"/>
      <c r="F160" s="13" t="s">
        <v>23</v>
      </c>
      <c r="G160" s="23">
        <f>I160+K160+M160+O160</f>
        <v>180341.60000000001</v>
      </c>
      <c r="H160" s="23">
        <f>J160+L160+N160+P160</f>
        <v>162018.30000000002</v>
      </c>
      <c r="I160" s="23">
        <f>I172+I208+I184+I196+I215+I222+I229+I236</f>
        <v>116756.20000000001</v>
      </c>
      <c r="J160" s="23">
        <f>J172+J208+J184+J196+J215+J222+J229+J236</f>
        <v>104347.90000000001</v>
      </c>
      <c r="K160" s="23">
        <f>K172+K208+K184+K196+K215+K222+K229+K236</f>
        <v>2500</v>
      </c>
      <c r="L160" s="23">
        <f>L172+L208+L184+L196+L215+L222+L229+L236</f>
        <v>0</v>
      </c>
      <c r="M160" s="23">
        <f>M172+M208+M184+M196+M215+M222+M229+M236</f>
        <v>27766.900000000001</v>
      </c>
      <c r="N160" s="23">
        <f>N172+N208+N184+N196+N215+N222+N229+N236</f>
        <v>24351.900000000001</v>
      </c>
      <c r="O160" s="23">
        <f>O172+O208+O184+O196+O215+O222+O229+O236</f>
        <v>33318.5</v>
      </c>
      <c r="P160" s="23">
        <f>P172+P208+P184+P196+P215+P222+P229+P236</f>
        <v>33318.5</v>
      </c>
      <c r="Q160" s="60"/>
      <c r="R160" s="35"/>
      <c r="W160" s="32">
        <f t="shared" si="25"/>
        <v>12408.300000000003</v>
      </c>
    </row>
    <row r="161" s="26" customFormat="1" ht="83.25" customHeight="1">
      <c r="A161" s="14"/>
      <c r="B161" s="58"/>
      <c r="C161" s="28" t="s">
        <v>75</v>
      </c>
      <c r="D161" s="28"/>
      <c r="E161" s="28"/>
      <c r="F161" s="13" t="s">
        <v>25</v>
      </c>
      <c r="G161" s="23">
        <f>I161+K161+M161+O161</f>
        <v>181324.73999999999</v>
      </c>
      <c r="H161" s="23">
        <f>J161+L161+N161+P161</f>
        <v>173599.79999999999</v>
      </c>
      <c r="I161" s="23">
        <f>I173+I209+I185+I197+I216+I223+I230+I237</f>
        <v>111578.54000000001</v>
      </c>
      <c r="J161" s="23">
        <f>J173+J209+J185+J197+J216+J223+J230+J237</f>
        <v>109904.60000000001</v>
      </c>
      <c r="K161" s="23">
        <f>K173+K209+K185+K197+K216+K223+K230+K237</f>
        <v>2500</v>
      </c>
      <c r="L161" s="23">
        <f>L173+L209+L185+L197+L216+L223+L230+L237</f>
        <v>0</v>
      </c>
      <c r="M161" s="23">
        <f>M173+M209+M185+M197+M216+M223+M230+M237</f>
        <v>28121.900000000001</v>
      </c>
      <c r="N161" s="23">
        <f>N173+N209+N185+N197+N216+N223+N230+N237</f>
        <v>24570.900000000001</v>
      </c>
      <c r="O161" s="23">
        <f>O173+O209+O185+O197+O216+O223+O230+O237</f>
        <v>39124.300000000003</v>
      </c>
      <c r="P161" s="23">
        <f>P173+P209+P185+P197+P216+P223+P230+P237</f>
        <v>39124.300000000003</v>
      </c>
      <c r="Q161" s="60"/>
      <c r="R161" s="35"/>
      <c r="S161" s="111" t="s">
        <v>73</v>
      </c>
      <c r="T161" s="112"/>
      <c r="W161" s="32">
        <f t="shared" si="25"/>
        <v>1673.9400000000023</v>
      </c>
    </row>
    <row r="162" s="26" customFormat="1" ht="18" customHeight="1">
      <c r="A162" s="14"/>
      <c r="B162" s="58"/>
      <c r="C162" s="28"/>
      <c r="D162" s="28"/>
      <c r="E162" s="28"/>
      <c r="F162" s="13" t="s">
        <v>26</v>
      </c>
      <c r="G162" s="23">
        <f>I162+K162+M162+O162</f>
        <v>197720.5</v>
      </c>
      <c r="H162" s="23">
        <f>J162+L162+N162+P162</f>
        <v>188559.5</v>
      </c>
      <c r="I162" s="23">
        <f>I174+I210+I186+I198+I217+I224+I231+I238</f>
        <v>113801.60000000001</v>
      </c>
      <c r="J162" s="23">
        <f>J174+J210+J186+J198+J217+J224+J231+J238</f>
        <v>110275.60000000001</v>
      </c>
      <c r="K162" s="23">
        <f>K174+K210+K186+K198+K217+K224+K231+K238</f>
        <v>2500</v>
      </c>
      <c r="L162" s="23">
        <f>L174+L210+L186+L198+L217+L224+L231+L238</f>
        <v>0</v>
      </c>
      <c r="M162" s="23">
        <f>M174+M210+M186+M198+M217+M224+M231+M238</f>
        <v>40223.799999999996</v>
      </c>
      <c r="N162" s="23">
        <f>N174+N210+N186+N198+N217+N224+N231+N238</f>
        <v>37088.799999999996</v>
      </c>
      <c r="O162" s="23">
        <f>O174+O210+O186+O198+O217+O224+O231+O238</f>
        <v>41195.099999999999</v>
      </c>
      <c r="P162" s="23">
        <f>P174+P210+P186+P198+P217+P224+P231+P238</f>
        <v>41195.099999999999</v>
      </c>
      <c r="Q162" s="60"/>
      <c r="R162" s="35"/>
      <c r="S162" s="113"/>
      <c r="T162" s="114"/>
      <c r="W162" s="32">
        <f t="shared" si="25"/>
        <v>3526</v>
      </c>
    </row>
    <row r="163" s="26" customFormat="1" ht="18" customHeight="1">
      <c r="A163" s="14"/>
      <c r="B163" s="58"/>
      <c r="C163" s="28"/>
      <c r="D163" s="28"/>
      <c r="E163" s="28"/>
      <c r="F163" s="13" t="s">
        <v>27</v>
      </c>
      <c r="G163" s="23">
        <f>I163+K163+M163+O163</f>
        <v>221087.60000000001</v>
      </c>
      <c r="H163" s="23">
        <f>J163+L163+N163+P163</f>
        <v>217736.5</v>
      </c>
      <c r="I163" s="23">
        <f>I175+I211+I187+I199+I218+I225+I232+I239</f>
        <v>127114.89999999999</v>
      </c>
      <c r="J163" s="23">
        <f>J175+J211+J187+J199+J218+J225+J232+J239</f>
        <v>123763.8</v>
      </c>
      <c r="K163" s="23">
        <f>K175+K211+K187+K199+K218+K225+K232+K239</f>
        <v>127.09999999999999</v>
      </c>
      <c r="L163" s="23">
        <f>L175+L211+L187+L199+L218+L225+L232+L239</f>
        <v>127.09999999999999</v>
      </c>
      <c r="M163" s="23">
        <f>M175+M211+M187+M199+M218+M225+M232+M239</f>
        <v>47521.100000000006</v>
      </c>
      <c r="N163" s="23">
        <f>N175+N211+N187+N199+N218+N225+N232+N239</f>
        <v>47521.100000000006</v>
      </c>
      <c r="O163" s="23">
        <f>O175+O211+O187+O199+O218+O225+O232+O239</f>
        <v>46324.5</v>
      </c>
      <c r="P163" s="23">
        <f>P175+P211+P187+P199+P218+P225+P232+P239</f>
        <v>46324.5</v>
      </c>
      <c r="Q163" s="60"/>
      <c r="R163" s="35"/>
      <c r="S163" s="115"/>
      <c r="T163" s="116"/>
      <c r="W163" s="32">
        <f t="shared" si="25"/>
        <v>3351.0999999999913</v>
      </c>
    </row>
    <row r="164" s="26" customFormat="1" ht="18" customHeight="1">
      <c r="A164" s="14"/>
      <c r="B164" s="58"/>
      <c r="C164" s="28"/>
      <c r="D164" s="28"/>
      <c r="E164" s="28"/>
      <c r="F164" s="13" t="s">
        <v>28</v>
      </c>
      <c r="G164" s="23">
        <f>I164+K164+M164+O164</f>
        <v>228198.60000000001</v>
      </c>
      <c r="H164" s="23">
        <f>J164+L164+N164+P164</f>
        <v>221491.20000000001</v>
      </c>
      <c r="I164" s="23">
        <f>I176+I188+I240</f>
        <v>132875.20000000001</v>
      </c>
      <c r="J164" s="23">
        <f>J176+J188+J240</f>
        <v>129803</v>
      </c>
      <c r="K164" s="23">
        <f>K176+K212+K188+K200+K219+K226+K233+K240</f>
        <v>0</v>
      </c>
      <c r="L164" s="23">
        <f>L176+L212+L188+L200+L219+L226+L233+L240</f>
        <v>0</v>
      </c>
      <c r="M164" s="23">
        <f>M176+M212+M188+M200+M219+M226+M233+M240</f>
        <v>47747.800000000003</v>
      </c>
      <c r="N164" s="23">
        <f>N176+N212+N188+N200+N219+N226+N233+N240</f>
        <v>44112.599999999999</v>
      </c>
      <c r="O164" s="23">
        <f>O176+O212+O188+O200+O219+O226+O233+O240</f>
        <v>47575.599999999999</v>
      </c>
      <c r="P164" s="23">
        <f>P176+P212+P188+P200+P219+P226+P233+P240</f>
        <v>47575.599999999999</v>
      </c>
      <c r="Q164" s="60"/>
      <c r="R164" s="75"/>
      <c r="S164" s="63">
        <f t="shared" ref="S164:S170" si="38">H164/G164*100</f>
        <v>97.060718163915112</v>
      </c>
      <c r="T164" s="13" t="s">
        <v>28</v>
      </c>
      <c r="W164" s="32">
        <f t="shared" si="25"/>
        <v>3072.2000000000116</v>
      </c>
      <c r="Y164" s="117"/>
      <c r="Z164" s="117"/>
    </row>
    <row r="165" s="26" customFormat="1" ht="18" customHeight="1">
      <c r="A165" s="14"/>
      <c r="B165" s="58"/>
      <c r="C165" s="28"/>
      <c r="D165" s="28"/>
      <c r="E165" s="28"/>
      <c r="F165" s="13" t="s">
        <v>29</v>
      </c>
      <c r="G165" s="23">
        <f>I165+K165+M165+O165</f>
        <v>245882</v>
      </c>
      <c r="H165" s="23">
        <f>J165+L165+N165+P165</f>
        <v>221168.20000000001</v>
      </c>
      <c r="I165" s="23">
        <f>I177+I213+I189+I201+I220+I227+I234+I241</f>
        <v>158241</v>
      </c>
      <c r="J165" s="23">
        <f>J177+J213+J189+J201+J220+J227+J234+J241</f>
        <v>151378</v>
      </c>
      <c r="K165" s="23">
        <f>K177+K213+K189+K201+K220+K227+K234+K241</f>
        <v>0</v>
      </c>
      <c r="L165" s="23">
        <f>L177+L213+L189+L201+L220+L227+L234+L241</f>
        <v>0</v>
      </c>
      <c r="M165" s="23">
        <f>M177+M213+M189+M201+M220+M227+M234+M241</f>
        <v>47747.800000000003</v>
      </c>
      <c r="N165" s="23">
        <f>N177+N213+N189+N201+N220+N227+N234+N241</f>
        <v>29897</v>
      </c>
      <c r="O165" s="23">
        <f>O177+O213+O189+O201+O220+O227+O234+O241</f>
        <v>39893.199999999997</v>
      </c>
      <c r="P165" s="23">
        <f>P177+P213+P189+P201+P220+P227+P234+P241</f>
        <v>39893.199999999997</v>
      </c>
      <c r="Q165" s="60"/>
      <c r="R165" s="35"/>
      <c r="S165" s="63">
        <f t="shared" si="38"/>
        <v>89.948918586964481</v>
      </c>
      <c r="T165" s="13" t="s">
        <v>29</v>
      </c>
      <c r="W165" s="32">
        <f t="shared" si="25"/>
        <v>6863</v>
      </c>
      <c r="Y165" s="117"/>
      <c r="Z165" s="117"/>
    </row>
    <row r="166" s="26" customFormat="1" ht="18" customHeight="1">
      <c r="A166" s="14"/>
      <c r="B166" s="58"/>
      <c r="C166" s="28"/>
      <c r="D166" s="28"/>
      <c r="E166" s="28"/>
      <c r="F166" s="13" t="s">
        <v>30</v>
      </c>
      <c r="G166" s="23">
        <f>I166+K166+M166+O166</f>
        <v>254386.29999999999</v>
      </c>
      <c r="H166" s="23">
        <f>J166+L166+N166+P166</f>
        <v>236225.5</v>
      </c>
      <c r="I166" s="23">
        <f>I178+I190+I202+I242</f>
        <v>158241</v>
      </c>
      <c r="J166" s="23">
        <f>J178+J190+J202+J242</f>
        <v>148675.70000000001</v>
      </c>
      <c r="K166" s="23">
        <f>K178+K190+K202+K242</f>
        <v>0</v>
      </c>
      <c r="L166" s="23">
        <f>L178+L190+L202+L242</f>
        <v>0</v>
      </c>
      <c r="M166" s="23">
        <f>M178+M190+M202+M242</f>
        <v>47747.800000000003</v>
      </c>
      <c r="N166" s="23">
        <f>N178+N190+N202+N242</f>
        <v>39152.300000000003</v>
      </c>
      <c r="O166" s="23">
        <f>O178+O190+O202+O242</f>
        <v>48397.5</v>
      </c>
      <c r="P166" s="23">
        <f>P178+P190+P202+P242</f>
        <v>48397.5</v>
      </c>
      <c r="Q166" s="60"/>
      <c r="R166" s="35"/>
      <c r="S166" s="63">
        <f t="shared" si="38"/>
        <v>92.860936300421855</v>
      </c>
      <c r="T166" s="13" t="s">
        <v>30</v>
      </c>
      <c r="W166" s="32">
        <f t="shared" si="25"/>
        <v>9565.2999999999884</v>
      </c>
      <c r="Y166" s="117"/>
      <c r="Z166" s="117"/>
    </row>
    <row r="167" s="39" customFormat="1" ht="18" customHeight="1">
      <c r="A167" s="14"/>
      <c r="B167" s="58"/>
      <c r="C167" s="28"/>
      <c r="D167" s="28"/>
      <c r="E167" s="28"/>
      <c r="F167" s="41" t="s">
        <v>31</v>
      </c>
      <c r="G167" s="42">
        <f>I167+K167+M167+O167</f>
        <v>284675.5</v>
      </c>
      <c r="H167" s="42">
        <f>J167+L167+N167+P167</f>
        <v>270895.40000000002</v>
      </c>
      <c r="I167" s="42">
        <f>I179+I191+I203+I243</f>
        <v>181672</v>
      </c>
      <c r="J167" s="42">
        <f>J179+J191+J203+J243</f>
        <v>176556.10000000001</v>
      </c>
      <c r="K167" s="42">
        <f>K179+K191+K203+K243</f>
        <v>0</v>
      </c>
      <c r="L167" s="42">
        <f>L179+L191+L203+L243</f>
        <v>0</v>
      </c>
      <c r="M167" s="42">
        <f>M179+M191+M203+M243</f>
        <v>47747.800000000003</v>
      </c>
      <c r="N167" s="42">
        <f>N179+N191+N203+N243</f>
        <v>39083.599999999999</v>
      </c>
      <c r="O167" s="42">
        <f>O179+O191+O203+O243</f>
        <v>55255.699999999997</v>
      </c>
      <c r="P167" s="42">
        <f>P179+P191+P203+P243</f>
        <v>55255.699999999997</v>
      </c>
      <c r="Q167" s="60"/>
      <c r="R167" s="43"/>
      <c r="S167" s="118">
        <f t="shared" si="38"/>
        <v>95.159365663711853</v>
      </c>
      <c r="T167" s="41" t="s">
        <v>31</v>
      </c>
      <c r="U167" s="39">
        <f>175479.10000000001+1076.9000000000001</f>
        <v>176556</v>
      </c>
      <c r="W167" s="46">
        <f t="shared" si="25"/>
        <v>5115.8999999999942</v>
      </c>
      <c r="Y167" s="119"/>
      <c r="Z167" s="119"/>
    </row>
    <row r="168" s="26" customFormat="1" ht="18" customHeight="1">
      <c r="A168" s="14"/>
      <c r="B168" s="58"/>
      <c r="C168" s="28"/>
      <c r="D168" s="28"/>
      <c r="E168" s="28"/>
      <c r="F168" s="13" t="s">
        <v>32</v>
      </c>
      <c r="G168" s="23">
        <f>I168+K168+M168+O168</f>
        <v>265017.89999999997</v>
      </c>
      <c r="H168" s="23">
        <f>J168+L168+N168+P168</f>
        <v>188648.00000000003</v>
      </c>
      <c r="I168" s="23">
        <f>I180+I192+I204+I244</f>
        <v>181672</v>
      </c>
      <c r="J168" s="23">
        <f>J180+J192+J204+J244</f>
        <v>147742.70000000001</v>
      </c>
      <c r="K168" s="23">
        <f>K180+K192+K204+K244</f>
        <v>0</v>
      </c>
      <c r="L168" s="23">
        <f>L180+L192+L204+L244</f>
        <v>0</v>
      </c>
      <c r="M168" s="23">
        <f>M180+M192+M204+M244</f>
        <v>47747.800000000003</v>
      </c>
      <c r="N168" s="23">
        <f>N180+N192+N204+N244</f>
        <v>5307.1999999999998</v>
      </c>
      <c r="O168" s="23">
        <f>O180+O192+O204+O244</f>
        <v>35598.099999999999</v>
      </c>
      <c r="P168" s="23">
        <f>P180+P192+P204+P244</f>
        <v>35598.099999999999</v>
      </c>
      <c r="Q168" s="60"/>
      <c r="R168" s="35"/>
      <c r="S168" s="63">
        <f t="shared" si="38"/>
        <v>71.183116310256793</v>
      </c>
      <c r="T168" s="13" t="s">
        <v>32</v>
      </c>
      <c r="U168" s="32">
        <f>U167-J167</f>
        <v>-0.10000000000582077</v>
      </c>
      <c r="W168" s="32">
        <f t="shared" si="25"/>
        <v>33929.299999999988</v>
      </c>
      <c r="Y168" s="117"/>
      <c r="Z168" s="117"/>
    </row>
    <row r="169" s="26" customFormat="1" ht="18" customHeight="1">
      <c r="A169" s="14"/>
      <c r="B169" s="58"/>
      <c r="C169" s="28"/>
      <c r="D169" s="28"/>
      <c r="E169" s="28"/>
      <c r="F169" s="13" t="s">
        <v>33</v>
      </c>
      <c r="G169" s="23">
        <f>I169+K169+M169+O169</f>
        <v>265017.89999999997</v>
      </c>
      <c r="H169" s="23">
        <f>J169+L169+N169+P169</f>
        <v>188648.00000000003</v>
      </c>
      <c r="I169" s="23">
        <f>I181+I193+I205+I245</f>
        <v>181672</v>
      </c>
      <c r="J169" s="23">
        <f>J181+J193+J205+J245</f>
        <v>147742.70000000001</v>
      </c>
      <c r="K169" s="23">
        <f>K181+K193+K205+K245</f>
        <v>0</v>
      </c>
      <c r="L169" s="23">
        <f>L181+L193+L205+L245</f>
        <v>0</v>
      </c>
      <c r="M169" s="23">
        <f>M181+M193+M205+M245</f>
        <v>47747.800000000003</v>
      </c>
      <c r="N169" s="23">
        <f>N181+N193+N205+N245</f>
        <v>5307.1999999999998</v>
      </c>
      <c r="O169" s="23">
        <f>O181+O193+O205+O245</f>
        <v>35598.099999999999</v>
      </c>
      <c r="P169" s="23">
        <f>P181+P193+P205+P245</f>
        <v>35598.099999999999</v>
      </c>
      <c r="Q169" s="60"/>
      <c r="R169" s="35"/>
      <c r="S169" s="63">
        <f t="shared" si="38"/>
        <v>71.183116310256793</v>
      </c>
      <c r="T169" s="13" t="s">
        <v>33</v>
      </c>
      <c r="U169" s="26"/>
      <c r="W169" s="32">
        <f t="shared" si="25"/>
        <v>33929.299999999988</v>
      </c>
      <c r="Y169" s="117"/>
      <c r="Z169" s="117"/>
    </row>
    <row r="170" s="26" customFormat="1" ht="18" customHeight="1">
      <c r="A170" s="14"/>
      <c r="B170" s="58"/>
      <c r="C170" s="49"/>
      <c r="D170" s="49"/>
      <c r="E170" s="49"/>
      <c r="F170" s="13" t="s">
        <v>34</v>
      </c>
      <c r="G170" s="23">
        <f>I170+K170+M170+O170</f>
        <v>265017.89999999997</v>
      </c>
      <c r="H170" s="23">
        <f>J170+L170+N170+P170</f>
        <v>143516.20000000001</v>
      </c>
      <c r="I170" s="23">
        <f>I182+I194+I206+I246</f>
        <v>181672</v>
      </c>
      <c r="J170" s="23">
        <f>J182+J194+J206+J246</f>
        <v>143516.20000000001</v>
      </c>
      <c r="K170" s="23">
        <f>K182+K194+K206+K246</f>
        <v>0</v>
      </c>
      <c r="L170" s="23">
        <f>L182+L194+L206+L246</f>
        <v>0</v>
      </c>
      <c r="M170" s="23">
        <f>M182+M194+M206+M246</f>
        <v>47747.800000000003</v>
      </c>
      <c r="N170" s="23">
        <f>N182+N194+N206+N246</f>
        <v>0</v>
      </c>
      <c r="O170" s="23">
        <f>O182+O194+O206+O246</f>
        <v>35598.099999999999</v>
      </c>
      <c r="P170" s="23">
        <f>P182+P194+P206+P246</f>
        <v>0</v>
      </c>
      <c r="Q170" s="60"/>
      <c r="R170" s="35"/>
      <c r="S170" s="63">
        <f t="shared" si="38"/>
        <v>54.153398694956088</v>
      </c>
      <c r="T170" s="13" t="s">
        <v>34</v>
      </c>
      <c r="W170" s="32">
        <f t="shared" si="25"/>
        <v>38155.799999999988</v>
      </c>
      <c r="Y170" s="117"/>
      <c r="Z170" s="117"/>
    </row>
    <row r="171" s="26" customFormat="1" ht="15" customHeight="1">
      <c r="A171" s="14"/>
      <c r="B171" s="72" t="s">
        <v>76</v>
      </c>
      <c r="C171" s="105"/>
      <c r="D171" s="105"/>
      <c r="E171" s="16"/>
      <c r="F171" s="11" t="s">
        <v>21</v>
      </c>
      <c r="G171" s="62">
        <f>SUM(G172:G182)</f>
        <v>2521348.6099999999</v>
      </c>
      <c r="H171" s="62">
        <f>SUM(H172:H182)</f>
        <v>2189200.6700000004</v>
      </c>
      <c r="I171" s="62">
        <f>SUM(I172:I182)</f>
        <v>1600998.9399999999</v>
      </c>
      <c r="J171" s="62">
        <f>SUM(J172:J182)</f>
        <v>1476239.8</v>
      </c>
      <c r="K171" s="62">
        <f>SUM(K172:K182)</f>
        <v>0</v>
      </c>
      <c r="L171" s="62">
        <f>SUM(L172:L182)</f>
        <v>0</v>
      </c>
      <c r="M171" s="62">
        <f>SUM(M172:M182)</f>
        <v>468125.49999999994</v>
      </c>
      <c r="N171" s="62">
        <f>SUM(N172:N182)</f>
        <v>296334.80000000005</v>
      </c>
      <c r="O171" s="62">
        <f>SUM(O172:O182)</f>
        <v>452224.16999999993</v>
      </c>
      <c r="P171" s="62">
        <f>SUM(P172:P182)</f>
        <v>416626.06999999995</v>
      </c>
      <c r="Q171" s="60"/>
      <c r="R171" s="35"/>
      <c r="W171" s="32">
        <f t="shared" si="25"/>
        <v>124759.1399999999</v>
      </c>
    </row>
    <row r="172" s="8" customFormat="1">
      <c r="A172" s="14"/>
      <c r="B172" s="72"/>
      <c r="C172" s="11" t="s">
        <v>77</v>
      </c>
      <c r="D172" s="12" t="s">
        <v>47</v>
      </c>
      <c r="E172" s="12" t="s">
        <v>48</v>
      </c>
      <c r="F172" s="11" t="s">
        <v>23</v>
      </c>
      <c r="G172" s="62">
        <f>I172+K172+M172+O172</f>
        <v>164731.80000000002</v>
      </c>
      <c r="H172" s="62">
        <f>J172+L172+N172+P172</f>
        <v>160327.90000000002</v>
      </c>
      <c r="I172" s="62">
        <f>7559.8-2100+J172-1400+344.1</f>
        <v>108642.20000000001</v>
      </c>
      <c r="J172" s="62">
        <v>104238.3</v>
      </c>
      <c r="K172" s="62">
        <v>0</v>
      </c>
      <c r="L172" s="62">
        <v>0</v>
      </c>
      <c r="M172" s="62">
        <f>N172</f>
        <v>24351.900000000001</v>
      </c>
      <c r="N172" s="62">
        <v>24351.900000000001</v>
      </c>
      <c r="O172" s="62">
        <v>31737.700000000001</v>
      </c>
      <c r="P172" s="62">
        <f t="shared" ref="P172:P177" si="39">O172</f>
        <v>31737.700000000001</v>
      </c>
      <c r="Q172" s="60"/>
      <c r="R172" s="108"/>
      <c r="W172" s="32">
        <f t="shared" si="25"/>
        <v>4403.9000000000087</v>
      </c>
    </row>
    <row r="173" ht="51">
      <c r="A173" s="14"/>
      <c r="B173" s="72"/>
      <c r="C173" s="11" t="s">
        <v>78</v>
      </c>
      <c r="D173" s="14"/>
      <c r="E173" s="14"/>
      <c r="F173" s="11" t="s">
        <v>25</v>
      </c>
      <c r="G173" s="62">
        <f>I173+K173+M173+O173</f>
        <v>173705.70999999999</v>
      </c>
      <c r="H173" s="62">
        <f>J173+L173+N173+P173</f>
        <v>171615.76999999999</v>
      </c>
      <c r="I173" s="62">
        <f>J173+487.94+1186</f>
        <v>110218.94</v>
      </c>
      <c r="J173" s="62">
        <f>109545.8-J185-J197-J216-J223-J237+30+700+50-1496.4-1390.5-66+2531.7</f>
        <v>108545</v>
      </c>
      <c r="K173" s="62">
        <v>0</v>
      </c>
      <c r="L173" s="62">
        <v>0</v>
      </c>
      <c r="M173" s="62">
        <f>N173+416</f>
        <v>24986.900000000001</v>
      </c>
      <c r="N173" s="62">
        <f>31823.200000000001-121-7131.3000000000002</f>
        <v>24570.900000000001</v>
      </c>
      <c r="O173" s="62">
        <f>39124.3-O209-O185-O197-O216-O223</f>
        <v>38499.870000000003</v>
      </c>
      <c r="P173" s="62">
        <f t="shared" si="39"/>
        <v>38499.870000000003</v>
      </c>
      <c r="Q173" s="60"/>
      <c r="R173" s="35"/>
      <c r="W173" s="32">
        <f t="shared" si="25"/>
        <v>1673.9400000000023</v>
      </c>
    </row>
    <row r="174" ht="15.75">
      <c r="A174" s="14"/>
      <c r="B174" s="72"/>
      <c r="C174" s="12" t="s">
        <v>79</v>
      </c>
      <c r="D174" s="14"/>
      <c r="E174" s="14"/>
      <c r="F174" s="11" t="s">
        <v>26</v>
      </c>
      <c r="G174" s="62">
        <f>I174+K174+M174+O174</f>
        <v>190853</v>
      </c>
      <c r="H174" s="62">
        <f>J174+L174+N174+P174</f>
        <v>187426</v>
      </c>
      <c r="I174" s="62">
        <f>J174+3427</f>
        <v>113420.7</v>
      </c>
      <c r="J174" s="62">
        <f>110093.1-J186-J198-J238+96.5+86</f>
        <v>109993.7</v>
      </c>
      <c r="K174" s="62">
        <v>0</v>
      </c>
      <c r="L174" s="62">
        <v>0</v>
      </c>
      <c r="M174" s="62">
        <f>N174</f>
        <v>37088.799999999996</v>
      </c>
      <c r="N174" s="62">
        <f>75318.699999999997-36741.800000000003-1488.0999999999999</f>
        <v>37088.799999999996</v>
      </c>
      <c r="O174" s="62">
        <f>41195.1-O210-O186-O198-O217-O224</f>
        <v>40343.5</v>
      </c>
      <c r="P174" s="62">
        <f t="shared" si="39"/>
        <v>40343.5</v>
      </c>
      <c r="Q174" s="60"/>
      <c r="R174" s="35"/>
      <c r="W174" s="32">
        <f t="shared" si="25"/>
        <v>3427</v>
      </c>
    </row>
    <row r="175" ht="15.75">
      <c r="A175" s="14"/>
      <c r="B175" s="72"/>
      <c r="C175" s="14"/>
      <c r="D175" s="14"/>
      <c r="E175" s="14"/>
      <c r="F175" s="11" t="s">
        <v>27</v>
      </c>
      <c r="G175" s="62">
        <f>I175+K175+M175+O175</f>
        <v>212843</v>
      </c>
      <c r="H175" s="62">
        <f t="shared" ref="H175:H177" si="40">J175+L175+N175+P175</f>
        <v>210497.90000000002</v>
      </c>
      <c r="I175" s="62">
        <v>120178.89999999999</v>
      </c>
      <c r="J175" s="62">
        <v>117833.8</v>
      </c>
      <c r="K175" s="62">
        <v>0</v>
      </c>
      <c r="L175" s="62">
        <v>0</v>
      </c>
      <c r="M175" s="62">
        <v>47463.300000000003</v>
      </c>
      <c r="N175" s="62">
        <f>M175</f>
        <v>47463.300000000003</v>
      </c>
      <c r="O175" s="62">
        <v>45200.800000000003</v>
      </c>
      <c r="P175" s="62">
        <f t="shared" si="39"/>
        <v>45200.800000000003</v>
      </c>
      <c r="Q175" s="60"/>
      <c r="R175" s="35"/>
      <c r="W175" s="32">
        <f t="shared" si="25"/>
        <v>2345.0999999999913</v>
      </c>
    </row>
    <row r="176" ht="15.75">
      <c r="A176" s="14"/>
      <c r="B176" s="72"/>
      <c r="C176" s="14"/>
      <c r="D176" s="14"/>
      <c r="E176" s="14"/>
      <c r="F176" s="11" t="s">
        <v>28</v>
      </c>
      <c r="G176" s="62">
        <f>I176+K176+M176+O176</f>
        <v>219758.70000000001</v>
      </c>
      <c r="H176" s="62">
        <f t="shared" si="40"/>
        <v>213051.29999999999</v>
      </c>
      <c r="I176" s="62">
        <v>124814.2</v>
      </c>
      <c r="J176" s="62">
        <f>129747.5-J188-J240+55.5</f>
        <v>121742</v>
      </c>
      <c r="K176" s="62">
        <v>0</v>
      </c>
      <c r="L176" s="62">
        <v>0</v>
      </c>
      <c r="M176" s="62">
        <v>47747.800000000003</v>
      </c>
      <c r="N176" s="62">
        <v>44112.599999999999</v>
      </c>
      <c r="O176" s="62">
        <f>33911+8310+5.1+5349.5-O188</f>
        <v>47196.699999999997</v>
      </c>
      <c r="P176" s="62">
        <f t="shared" si="39"/>
        <v>47196.699999999997</v>
      </c>
      <c r="Q176" s="60"/>
      <c r="R176" s="35"/>
      <c r="W176" s="32">
        <f t="shared" si="25"/>
        <v>3072.1999999999971</v>
      </c>
    </row>
    <row r="177" ht="15.75">
      <c r="A177" s="14"/>
      <c r="B177" s="72"/>
      <c r="C177" s="14"/>
      <c r="D177" s="14"/>
      <c r="E177" s="14"/>
      <c r="F177" s="11" t="s">
        <v>29</v>
      </c>
      <c r="G177" s="62">
        <f>I177+K177+M177+O177</f>
        <v>242502.09999999998</v>
      </c>
      <c r="H177" s="62">
        <f t="shared" si="40"/>
        <v>220823.29999999999</v>
      </c>
      <c r="I177" s="62">
        <v>155000</v>
      </c>
      <c r="J177" s="62">
        <v>151172</v>
      </c>
      <c r="K177" s="62">
        <v>0</v>
      </c>
      <c r="L177" s="62">
        <v>0</v>
      </c>
      <c r="M177" s="62">
        <v>47747.800000000003</v>
      </c>
      <c r="N177" s="62">
        <v>29897</v>
      </c>
      <c r="O177" s="62">
        <f>39893.199999999997-138.90000000000001</f>
        <v>39754.299999999996</v>
      </c>
      <c r="P177" s="62">
        <f t="shared" si="39"/>
        <v>39754.299999999996</v>
      </c>
      <c r="Q177" s="60"/>
      <c r="R177" s="75">
        <f>I177-J177</f>
        <v>3828</v>
      </c>
      <c r="W177" s="32">
        <f t="shared" si="25"/>
        <v>3828</v>
      </c>
      <c r="Y177" s="74"/>
    </row>
    <row r="178" ht="15.75">
      <c r="A178" s="14"/>
      <c r="B178" s="72"/>
      <c r="C178" s="14"/>
      <c r="D178" s="14"/>
      <c r="E178" s="14"/>
      <c r="F178" s="11" t="s">
        <v>30</v>
      </c>
      <c r="G178" s="62">
        <f>I178+K178+M178+O178</f>
        <v>250471.5</v>
      </c>
      <c r="H178" s="62">
        <f>J178+L178+N178+P178</f>
        <v>235198.60000000003</v>
      </c>
      <c r="I178" s="62">
        <v>155000</v>
      </c>
      <c r="J178" s="62">
        <v>148322.60000000001</v>
      </c>
      <c r="K178" s="62">
        <v>0</v>
      </c>
      <c r="L178" s="62">
        <v>0</v>
      </c>
      <c r="M178" s="62">
        <f t="shared" ref="M178:M182" si="41">M177</f>
        <v>47747.800000000003</v>
      </c>
      <c r="N178" s="62">
        <v>39152.300000000003</v>
      </c>
      <c r="O178" s="62">
        <f t="shared" ref="O178:O180" si="42">P178</f>
        <v>47723.699999999997</v>
      </c>
      <c r="P178" s="62">
        <f>48397.5-P242</f>
        <v>47723.699999999997</v>
      </c>
      <c r="Q178" s="60"/>
      <c r="R178" s="35"/>
      <c r="U178" s="74"/>
      <c r="W178" s="32">
        <f t="shared" si="25"/>
        <v>6677.3999999999942</v>
      </c>
    </row>
    <row r="179" s="76" customFormat="1">
      <c r="A179" s="14"/>
      <c r="B179" s="72"/>
      <c r="C179" s="14"/>
      <c r="D179" s="14"/>
      <c r="E179" s="14"/>
      <c r="F179" s="77" t="s">
        <v>31</v>
      </c>
      <c r="G179" s="78">
        <f>I179+K179+M179+O179</f>
        <v>281152.09999999998</v>
      </c>
      <c r="H179" s="78">
        <f>J179+L179+N179+P179</f>
        <v>270259.90000000002</v>
      </c>
      <c r="I179" s="78">
        <f>30300+141611+6520</f>
        <v>178431</v>
      </c>
      <c r="J179" s="78">
        <f>171920.10000000001+1077+3205.8000000000002+0.10000000000000001</f>
        <v>176203</v>
      </c>
      <c r="K179" s="78">
        <v>0</v>
      </c>
      <c r="L179" s="78">
        <v>0</v>
      </c>
      <c r="M179" s="78">
        <f t="shared" si="41"/>
        <v>47747.800000000003</v>
      </c>
      <c r="N179" s="78">
        <v>39083.599999999999</v>
      </c>
      <c r="O179" s="78">
        <f t="shared" si="42"/>
        <v>54973.299999999996</v>
      </c>
      <c r="P179" s="78">
        <f>55255.7-P243</f>
        <v>54973.299999999996</v>
      </c>
      <c r="Q179" s="60"/>
      <c r="R179" s="68"/>
      <c r="W179" s="70">
        <f t="shared" si="25"/>
        <v>2228</v>
      </c>
      <c r="X179" s="80">
        <f>I179-J179</f>
        <v>2228</v>
      </c>
    </row>
    <row r="180" ht="15.75">
      <c r="A180" s="14"/>
      <c r="B180" s="72"/>
      <c r="C180" s="14"/>
      <c r="D180" s="14"/>
      <c r="E180" s="14"/>
      <c r="F180" s="11" t="s">
        <v>32</v>
      </c>
      <c r="G180" s="62">
        <f>I180+K180+M180+O180</f>
        <v>261776.89999999999</v>
      </c>
      <c r="H180" s="62">
        <f>J180+L180+N180+P180</f>
        <v>188294.90000000002</v>
      </c>
      <c r="I180" s="62">
        <f t="shared" ref="I180:I182" si="43">I179</f>
        <v>178431</v>
      </c>
      <c r="J180" s="62">
        <f t="shared" ref="J180:J181" si="44">147742.7-J244</f>
        <v>147389.60000000001</v>
      </c>
      <c r="K180" s="62">
        <v>0</v>
      </c>
      <c r="L180" s="62">
        <v>0</v>
      </c>
      <c r="M180" s="62">
        <f t="shared" si="41"/>
        <v>47747.800000000003</v>
      </c>
      <c r="N180" s="62">
        <v>5307.1999999999998</v>
      </c>
      <c r="O180" s="62">
        <f t="shared" si="42"/>
        <v>35598.099999999999</v>
      </c>
      <c r="P180" s="62">
        <v>35598.099999999999</v>
      </c>
      <c r="Q180" s="60"/>
      <c r="R180" s="35"/>
      <c r="S180" s="74">
        <f>I180-J180</f>
        <v>31041.399999999994</v>
      </c>
      <c r="W180" s="32">
        <f t="shared" si="25"/>
        <v>31041.399999999994</v>
      </c>
      <c r="X180" s="1"/>
    </row>
    <row r="181" ht="15.75">
      <c r="A181" s="14"/>
      <c r="B181" s="72"/>
      <c r="C181" s="14"/>
      <c r="D181" s="14"/>
      <c r="E181" s="14"/>
      <c r="F181" s="11" t="s">
        <v>33</v>
      </c>
      <c r="G181" s="62">
        <f>I181+K181+M181+O181</f>
        <v>261776.89999999999</v>
      </c>
      <c r="H181" s="62">
        <f>J181+L181+N181+P181</f>
        <v>188294.90000000002</v>
      </c>
      <c r="I181" s="62">
        <f t="shared" si="43"/>
        <v>178431</v>
      </c>
      <c r="J181" s="62">
        <f t="shared" si="44"/>
        <v>147389.60000000001</v>
      </c>
      <c r="K181" s="62">
        <v>0</v>
      </c>
      <c r="L181" s="62">
        <v>0</v>
      </c>
      <c r="M181" s="62">
        <f t="shared" si="41"/>
        <v>47747.800000000003</v>
      </c>
      <c r="N181" s="62">
        <v>5307.1999999999998</v>
      </c>
      <c r="O181" s="62">
        <f t="shared" ref="O181:O182" si="45">O180</f>
        <v>35598.099999999999</v>
      </c>
      <c r="P181" s="62">
        <v>35598.099999999999</v>
      </c>
      <c r="Q181" s="60"/>
      <c r="R181" s="35"/>
      <c r="S181" s="1"/>
      <c r="W181" s="32">
        <f t="shared" si="25"/>
        <v>31041.399999999994</v>
      </c>
    </row>
    <row r="182" ht="15.75">
      <c r="A182" s="14"/>
      <c r="B182" s="72"/>
      <c r="C182" s="16"/>
      <c r="D182" s="16"/>
      <c r="E182" s="16"/>
      <c r="F182" s="11" t="s">
        <v>34</v>
      </c>
      <c r="G182" s="62">
        <f>I182+K182+M182+O182</f>
        <v>261776.89999999999</v>
      </c>
      <c r="H182" s="62">
        <f>J182+L182+N182+P182</f>
        <v>143410.20000000001</v>
      </c>
      <c r="I182" s="62">
        <f t="shared" si="43"/>
        <v>178431</v>
      </c>
      <c r="J182" s="62">
        <f>127725.7+6200+5000+4484.5</f>
        <v>143410.20000000001</v>
      </c>
      <c r="K182" s="62">
        <v>0</v>
      </c>
      <c r="L182" s="62">
        <v>0</v>
      </c>
      <c r="M182" s="62">
        <f t="shared" si="41"/>
        <v>47747.800000000003</v>
      </c>
      <c r="N182" s="62">
        <v>0</v>
      </c>
      <c r="O182" s="62">
        <f t="shared" si="45"/>
        <v>35598.099999999999</v>
      </c>
      <c r="P182" s="62">
        <v>0</v>
      </c>
      <c r="Q182" s="60"/>
      <c r="R182" s="35"/>
      <c r="W182" s="32">
        <f t="shared" si="25"/>
        <v>35020.799999999988</v>
      </c>
    </row>
    <row r="183" s="26" customFormat="1" ht="15.75" customHeight="1">
      <c r="A183" s="14"/>
      <c r="B183" s="72" t="s">
        <v>80</v>
      </c>
      <c r="C183" s="5"/>
      <c r="D183" s="5"/>
      <c r="E183" s="16"/>
      <c r="F183" s="11" t="s">
        <v>21</v>
      </c>
      <c r="G183" s="62">
        <f>SUM(G184:G194)</f>
        <v>38637.130000000005</v>
      </c>
      <c r="H183" s="62">
        <f>SUM(H184:H194)</f>
        <v>17215.129999999997</v>
      </c>
      <c r="I183" s="62">
        <f>SUM(I184:I194)</f>
        <v>18781.599999999999</v>
      </c>
      <c r="J183" s="62">
        <f>SUM(J184:J194)</f>
        <v>14164.6</v>
      </c>
      <c r="K183" s="62">
        <f>SUM(K184:K194)</f>
        <v>7627.1000000000004</v>
      </c>
      <c r="L183" s="62">
        <f>SUM(L184:L194)</f>
        <v>127.09999999999999</v>
      </c>
      <c r="M183" s="62">
        <f>SUM(M184:M194)</f>
        <v>9362.7999999999993</v>
      </c>
      <c r="N183" s="62">
        <f>SUM(N184:N194)</f>
        <v>57.799999999999997</v>
      </c>
      <c r="O183" s="62">
        <f>SUM(O184:O194)</f>
        <v>2865.6300000000001</v>
      </c>
      <c r="P183" s="62">
        <f>SUM(P184:P194)</f>
        <v>2865.6300000000001</v>
      </c>
      <c r="Q183" s="60"/>
      <c r="R183" s="35"/>
      <c r="W183" s="32">
        <f t="shared" si="25"/>
        <v>4616.9999999999982</v>
      </c>
    </row>
    <row r="184" s="8" customFormat="1" ht="40.5" customHeight="1">
      <c r="A184" s="14"/>
      <c r="B184" s="72"/>
      <c r="C184" s="11" t="s">
        <v>81</v>
      </c>
      <c r="D184" s="11"/>
      <c r="E184" s="120"/>
      <c r="F184" s="11" t="s">
        <v>23</v>
      </c>
      <c r="G184" s="62">
        <f>I184+K184+M184+O184</f>
        <v>10633</v>
      </c>
      <c r="H184" s="62">
        <f>J184+L184+N184+P184</f>
        <v>580</v>
      </c>
      <c r="I184" s="62">
        <f>418+4100+J184</f>
        <v>4598</v>
      </c>
      <c r="J184" s="62">
        <v>80</v>
      </c>
      <c r="K184" s="62">
        <v>2500</v>
      </c>
      <c r="L184" s="62">
        <v>0</v>
      </c>
      <c r="M184" s="62">
        <v>3035</v>
      </c>
      <c r="N184" s="62">
        <v>0</v>
      </c>
      <c r="O184" s="62">
        <v>500</v>
      </c>
      <c r="P184" s="62">
        <f t="shared" ref="P184:P188" si="46">O184</f>
        <v>500</v>
      </c>
      <c r="Q184" s="60"/>
      <c r="R184" s="108"/>
      <c r="W184" s="32">
        <f t="shared" si="25"/>
        <v>4518</v>
      </c>
    </row>
    <row r="185" ht="38.25" customHeight="1">
      <c r="A185" s="14"/>
      <c r="B185" s="72"/>
      <c r="C185" s="12" t="s">
        <v>82</v>
      </c>
      <c r="D185" s="11"/>
      <c r="E185" s="120"/>
      <c r="F185" s="11" t="s">
        <v>25</v>
      </c>
      <c r="G185" s="62">
        <f>I185+K185+M185+O185</f>
        <v>6202.1300000000001</v>
      </c>
      <c r="H185" s="62">
        <f>J185+L185+N185+P185</f>
        <v>567.13</v>
      </c>
      <c r="I185" s="62">
        <f>J185</f>
        <v>100</v>
      </c>
      <c r="J185" s="62">
        <v>100</v>
      </c>
      <c r="K185" s="62">
        <v>2500</v>
      </c>
      <c r="L185" s="62">
        <v>0</v>
      </c>
      <c r="M185" s="62">
        <v>3135</v>
      </c>
      <c r="N185" s="62">
        <v>0</v>
      </c>
      <c r="O185" s="62">
        <v>467.13</v>
      </c>
      <c r="P185" s="62">
        <f t="shared" si="46"/>
        <v>467.13</v>
      </c>
      <c r="Q185" s="60"/>
      <c r="R185" s="35"/>
      <c r="W185" s="32">
        <f t="shared" si="25"/>
        <v>0</v>
      </c>
    </row>
    <row r="186" ht="15.6" customHeight="1">
      <c r="A186" s="14"/>
      <c r="B186" s="72"/>
      <c r="C186" s="14"/>
      <c r="D186" s="11"/>
      <c r="E186" s="120"/>
      <c r="F186" s="11" t="s">
        <v>26</v>
      </c>
      <c r="G186" s="62">
        <f>I186+K186+M186+O186</f>
        <v>6474</v>
      </c>
      <c r="H186" s="62">
        <f>J186+L186+N186+P186</f>
        <v>740</v>
      </c>
      <c r="I186" s="62">
        <f>J186+99</f>
        <v>198.59999999999999</v>
      </c>
      <c r="J186" s="62">
        <v>99.599999999999994</v>
      </c>
      <c r="K186" s="62">
        <v>2500</v>
      </c>
      <c r="L186" s="62">
        <v>0</v>
      </c>
      <c r="M186" s="62">
        <v>3135</v>
      </c>
      <c r="N186" s="62">
        <v>0</v>
      </c>
      <c r="O186" s="62">
        <v>640.39999999999998</v>
      </c>
      <c r="P186" s="62">
        <f t="shared" si="46"/>
        <v>640.39999999999998</v>
      </c>
      <c r="Q186" s="60"/>
      <c r="R186" s="35"/>
      <c r="W186" s="32">
        <f t="shared" si="25"/>
        <v>99</v>
      </c>
    </row>
    <row r="187" ht="15.75">
      <c r="A187" s="14"/>
      <c r="B187" s="72"/>
      <c r="C187" s="14"/>
      <c r="D187" s="11"/>
      <c r="E187" s="120"/>
      <c r="F187" s="11" t="s">
        <v>27</v>
      </c>
      <c r="G187" s="62">
        <f>I187+K187+M187+O187</f>
        <v>6994.1000000000004</v>
      </c>
      <c r="H187" s="62">
        <f>J187+L187+N187+P187</f>
        <v>6994.1000000000004</v>
      </c>
      <c r="I187" s="62">
        <v>5930</v>
      </c>
      <c r="J187" s="62">
        <f>I187</f>
        <v>5930</v>
      </c>
      <c r="K187" s="62">
        <v>127.09999999999999</v>
      </c>
      <c r="L187" s="62">
        <v>127.09999999999999</v>
      </c>
      <c r="M187" s="62">
        <v>57.799999999999997</v>
      </c>
      <c r="N187" s="62">
        <v>57.799999999999997</v>
      </c>
      <c r="O187" s="62">
        <v>879.20000000000005</v>
      </c>
      <c r="P187" s="62">
        <f t="shared" si="46"/>
        <v>879.20000000000005</v>
      </c>
      <c r="Q187" s="60"/>
      <c r="R187" s="35"/>
      <c r="W187" s="32">
        <f t="shared" si="25"/>
        <v>0</v>
      </c>
    </row>
    <row r="188" ht="15.75">
      <c r="A188" s="14"/>
      <c r="B188" s="72"/>
      <c r="C188" s="14"/>
      <c r="D188" s="11"/>
      <c r="E188" s="120"/>
      <c r="F188" s="11" t="s">
        <v>28</v>
      </c>
      <c r="G188" s="62">
        <f>I188+K188+M188+O188</f>
        <v>8333.8999999999996</v>
      </c>
      <c r="H188" s="62">
        <f>J188+L188+N188+P188</f>
        <v>8333.8999999999996</v>
      </c>
      <c r="I188" s="62">
        <v>7955</v>
      </c>
      <c r="J188" s="62">
        <v>7955</v>
      </c>
      <c r="K188" s="62">
        <v>0</v>
      </c>
      <c r="L188" s="62">
        <v>0</v>
      </c>
      <c r="M188" s="62">
        <v>0</v>
      </c>
      <c r="N188" s="62">
        <v>0</v>
      </c>
      <c r="O188" s="62">
        <v>378.89999999999998</v>
      </c>
      <c r="P188" s="62">
        <f t="shared" si="46"/>
        <v>378.89999999999998</v>
      </c>
      <c r="Q188" s="60"/>
      <c r="R188" s="35"/>
      <c r="W188" s="32">
        <f t="shared" si="25"/>
        <v>0</v>
      </c>
    </row>
    <row r="189" ht="15.75">
      <c r="A189" s="14"/>
      <c r="B189" s="72"/>
      <c r="C189" s="14"/>
      <c r="D189" s="11"/>
      <c r="E189" s="120"/>
      <c r="F189" s="11" t="s">
        <v>29</v>
      </c>
      <c r="G189" s="121" t="s">
        <v>83</v>
      </c>
      <c r="H189" s="122"/>
      <c r="I189" s="122"/>
      <c r="J189" s="122"/>
      <c r="K189" s="122"/>
      <c r="L189" s="122"/>
      <c r="M189" s="122"/>
      <c r="N189" s="122"/>
      <c r="O189" s="122"/>
      <c r="P189" s="123"/>
      <c r="Q189" s="60"/>
      <c r="R189" s="35"/>
      <c r="W189" s="32">
        <f t="shared" si="25"/>
        <v>0</v>
      </c>
    </row>
    <row r="190" ht="15.75" hidden="1">
      <c r="A190" s="14"/>
      <c r="B190" s="72"/>
      <c r="C190" s="14"/>
      <c r="D190" s="14"/>
      <c r="E190" s="14"/>
      <c r="F190" s="11" t="s">
        <v>30</v>
      </c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0"/>
      <c r="R190" s="35"/>
      <c r="W190" s="32">
        <f t="shared" ref="W190:W253" si="47">I190-J190</f>
        <v>0</v>
      </c>
    </row>
    <row r="191" ht="15.75" hidden="1">
      <c r="A191" s="14"/>
      <c r="B191" s="72"/>
      <c r="C191" s="14"/>
      <c r="D191" s="14"/>
      <c r="E191" s="14"/>
      <c r="F191" s="11" t="s">
        <v>31</v>
      </c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0"/>
      <c r="R191" s="35"/>
      <c r="W191" s="32">
        <f t="shared" si="47"/>
        <v>0</v>
      </c>
    </row>
    <row r="192" ht="15.75" hidden="1">
      <c r="A192" s="14"/>
      <c r="B192" s="72"/>
      <c r="C192" s="14"/>
      <c r="D192" s="14"/>
      <c r="E192" s="14"/>
      <c r="F192" s="11" t="s">
        <v>32</v>
      </c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0"/>
      <c r="R192" s="35"/>
      <c r="W192" s="32">
        <f t="shared" si="47"/>
        <v>0</v>
      </c>
    </row>
    <row r="193" ht="15.75" hidden="1">
      <c r="A193" s="14"/>
      <c r="B193" s="72"/>
      <c r="C193" s="14"/>
      <c r="D193" s="14"/>
      <c r="E193" s="14"/>
      <c r="F193" s="11" t="s">
        <v>33</v>
      </c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0"/>
      <c r="R193" s="35"/>
      <c r="W193" s="32">
        <f t="shared" si="47"/>
        <v>0</v>
      </c>
    </row>
    <row r="194" ht="15.75" hidden="1">
      <c r="A194" s="14"/>
      <c r="B194" s="72"/>
      <c r="C194" s="16"/>
      <c r="D194" s="16"/>
      <c r="E194" s="14"/>
      <c r="F194" s="11" t="s">
        <v>34</v>
      </c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0"/>
      <c r="R194" s="35"/>
      <c r="W194" s="32">
        <f t="shared" si="47"/>
        <v>0</v>
      </c>
    </row>
    <row r="195" ht="15.75" customHeight="1">
      <c r="A195" s="14"/>
      <c r="B195" s="72" t="s">
        <v>84</v>
      </c>
      <c r="C195" s="19"/>
      <c r="D195" s="124"/>
      <c r="E195" s="11"/>
      <c r="F195" s="11" t="s">
        <v>21</v>
      </c>
      <c r="G195" s="62">
        <f>SUM(G196:G206)</f>
        <v>2308.9000000000001</v>
      </c>
      <c r="H195" s="62">
        <f>SUM(H196:H206)</f>
        <v>968.89999999999998</v>
      </c>
      <c r="I195" s="62">
        <f>SUM(I196:I206)</f>
        <v>1515.9000000000001</v>
      </c>
      <c r="J195" s="62">
        <f>SUM(J196:J206)</f>
        <v>175.89999999999998</v>
      </c>
      <c r="K195" s="62">
        <f>SUM(K196:K206)</f>
        <v>0</v>
      </c>
      <c r="L195" s="62">
        <f>SUM(L196:L206)</f>
        <v>0</v>
      </c>
      <c r="M195" s="62">
        <f>SUM(M196:M206)</f>
        <v>0</v>
      </c>
      <c r="N195" s="62">
        <f>SUM(N196:N206)</f>
        <v>0</v>
      </c>
      <c r="O195" s="62">
        <f>SUM(O196:O206)</f>
        <v>793</v>
      </c>
      <c r="P195" s="62">
        <f>SUM(P196:P206)</f>
        <v>793</v>
      </c>
      <c r="Q195" s="60"/>
      <c r="R195" s="35"/>
      <c r="W195" s="32">
        <f t="shared" si="47"/>
        <v>1340</v>
      </c>
    </row>
    <row r="196" s="8" customFormat="1" ht="43.5" customHeight="1">
      <c r="A196" s="14"/>
      <c r="B196" s="72"/>
      <c r="C196" s="11" t="s">
        <v>81</v>
      </c>
      <c r="D196" s="125"/>
      <c r="E196" s="11"/>
      <c r="F196" s="11" t="s">
        <v>23</v>
      </c>
      <c r="G196" s="62">
        <f>I196+K196+M196+O196</f>
        <v>620</v>
      </c>
      <c r="H196" s="62">
        <f>J196+L196+N196+P196</f>
        <v>180</v>
      </c>
      <c r="I196" s="62">
        <f>440+J196</f>
        <v>440</v>
      </c>
      <c r="J196" s="62">
        <v>0</v>
      </c>
      <c r="K196" s="62">
        <v>0</v>
      </c>
      <c r="L196" s="62">
        <v>0</v>
      </c>
      <c r="M196" s="62">
        <v>0</v>
      </c>
      <c r="N196" s="62">
        <v>0</v>
      </c>
      <c r="O196" s="62">
        <v>180</v>
      </c>
      <c r="P196" s="62">
        <f t="shared" ref="P196:P197" si="48">O196</f>
        <v>180</v>
      </c>
      <c r="Q196" s="60"/>
      <c r="R196" s="108"/>
      <c r="W196" s="32">
        <f t="shared" si="47"/>
        <v>440</v>
      </c>
    </row>
    <row r="197" ht="15.6" customHeight="1">
      <c r="A197" s="14"/>
      <c r="B197" s="72"/>
      <c r="C197" s="12" t="s">
        <v>85</v>
      </c>
      <c r="D197" s="125"/>
      <c r="E197" s="11"/>
      <c r="F197" s="11" t="s">
        <v>25</v>
      </c>
      <c r="G197" s="62">
        <f>I197+K197+M197+O197</f>
        <v>256.89999999999998</v>
      </c>
      <c r="H197" s="62">
        <f>J197+L197+N197+P197</f>
        <v>256.89999999999998</v>
      </c>
      <c r="I197" s="62">
        <f t="shared" ref="I197:I198" si="49">J197</f>
        <v>99.599999999999994</v>
      </c>
      <c r="J197" s="62">
        <v>99.599999999999994</v>
      </c>
      <c r="K197" s="62">
        <v>0</v>
      </c>
      <c r="L197" s="62">
        <v>0</v>
      </c>
      <c r="M197" s="62">
        <v>0</v>
      </c>
      <c r="N197" s="62">
        <v>0</v>
      </c>
      <c r="O197" s="62">
        <v>157.30000000000001</v>
      </c>
      <c r="P197" s="62">
        <f t="shared" si="48"/>
        <v>157.30000000000001</v>
      </c>
      <c r="Q197" s="60"/>
      <c r="R197" s="35"/>
      <c r="W197" s="32">
        <f t="shared" si="47"/>
        <v>0</v>
      </c>
    </row>
    <row r="198" ht="15.6" customHeight="1">
      <c r="A198" s="14"/>
      <c r="B198" s="72"/>
      <c r="C198" s="14"/>
      <c r="D198" s="125"/>
      <c r="E198" s="11"/>
      <c r="F198" s="11" t="s">
        <v>26</v>
      </c>
      <c r="G198" s="62">
        <f>I198+K198+M198+O198</f>
        <v>287.5</v>
      </c>
      <c r="H198" s="62">
        <f>J198+L198+N198+P198</f>
        <v>287.5</v>
      </c>
      <c r="I198" s="62">
        <f t="shared" si="49"/>
        <v>76.299999999999997</v>
      </c>
      <c r="J198" s="62">
        <v>76.299999999999997</v>
      </c>
      <c r="K198" s="62">
        <v>0</v>
      </c>
      <c r="L198" s="62">
        <v>0</v>
      </c>
      <c r="M198" s="62">
        <v>0</v>
      </c>
      <c r="N198" s="62">
        <v>0</v>
      </c>
      <c r="O198" s="62">
        <f>P198</f>
        <v>211.19999999999999</v>
      </c>
      <c r="P198" s="62">
        <v>211.19999999999999</v>
      </c>
      <c r="Q198" s="60"/>
      <c r="R198" s="35"/>
      <c r="W198" s="32">
        <f t="shared" si="47"/>
        <v>0</v>
      </c>
    </row>
    <row r="199" ht="15.75">
      <c r="A199" s="14"/>
      <c r="B199" s="72"/>
      <c r="C199" s="14"/>
      <c r="D199" s="125"/>
      <c r="E199" s="11"/>
      <c r="F199" s="11" t="s">
        <v>27</v>
      </c>
      <c r="G199" s="62">
        <f>I199+K199+M199+O199</f>
        <v>1144.5</v>
      </c>
      <c r="H199" s="62">
        <f>J199+L199+N199+P199</f>
        <v>244.5</v>
      </c>
      <c r="I199" s="62">
        <v>900</v>
      </c>
      <c r="J199" s="62">
        <v>0</v>
      </c>
      <c r="K199" s="62">
        <v>0</v>
      </c>
      <c r="L199" s="62">
        <v>0</v>
      </c>
      <c r="M199" s="62">
        <v>0</v>
      </c>
      <c r="N199" s="62">
        <v>0</v>
      </c>
      <c r="O199" s="62">
        <v>244.5</v>
      </c>
      <c r="P199" s="62">
        <v>244.5</v>
      </c>
      <c r="Q199" s="60"/>
      <c r="R199" s="35"/>
      <c r="W199" s="32">
        <f t="shared" si="47"/>
        <v>900</v>
      </c>
    </row>
    <row r="200" ht="15.6" customHeight="1">
      <c r="A200" s="14"/>
      <c r="B200" s="72"/>
      <c r="C200" s="126"/>
      <c r="D200" s="125"/>
      <c r="E200" s="11"/>
      <c r="F200" s="11" t="s">
        <v>28</v>
      </c>
      <c r="G200" s="81" t="s">
        <v>86</v>
      </c>
      <c r="H200" s="82"/>
      <c r="I200" s="82"/>
      <c r="J200" s="82"/>
      <c r="K200" s="82"/>
      <c r="L200" s="82"/>
      <c r="M200" s="82"/>
      <c r="N200" s="82"/>
      <c r="O200" s="82"/>
      <c r="P200" s="83"/>
      <c r="Q200" s="60"/>
      <c r="R200" s="35"/>
      <c r="W200" s="32">
        <f t="shared" si="47"/>
        <v>0</v>
      </c>
    </row>
    <row r="201" ht="15.75" hidden="1">
      <c r="A201" s="14"/>
      <c r="B201" s="72"/>
      <c r="C201" s="126"/>
      <c r="D201" s="126"/>
      <c r="E201" s="126"/>
      <c r="F201" s="11" t="s">
        <v>29</v>
      </c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0"/>
      <c r="R201" s="35"/>
      <c r="W201" s="32">
        <f t="shared" si="47"/>
        <v>0</v>
      </c>
    </row>
    <row r="202" ht="15.75" hidden="1">
      <c r="A202" s="14"/>
      <c r="B202" s="72"/>
      <c r="C202" s="126"/>
      <c r="D202" s="126"/>
      <c r="E202" s="126"/>
      <c r="F202" s="11" t="s">
        <v>30</v>
      </c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0"/>
      <c r="R202" s="35"/>
      <c r="W202" s="32">
        <f t="shared" si="47"/>
        <v>0</v>
      </c>
    </row>
    <row r="203" ht="15.75" hidden="1">
      <c r="A203" s="14"/>
      <c r="B203" s="72"/>
      <c r="C203" s="126"/>
      <c r="D203" s="126"/>
      <c r="E203" s="126"/>
      <c r="F203" s="11" t="s">
        <v>31</v>
      </c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0"/>
      <c r="R203" s="35"/>
      <c r="W203" s="32">
        <f t="shared" si="47"/>
        <v>0</v>
      </c>
    </row>
    <row r="204" ht="15.75" hidden="1">
      <c r="A204" s="14"/>
      <c r="B204" s="72"/>
      <c r="C204" s="126"/>
      <c r="D204" s="126"/>
      <c r="E204" s="126"/>
      <c r="F204" s="11" t="s">
        <v>32</v>
      </c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0"/>
      <c r="R204" s="35"/>
      <c r="W204" s="32">
        <f t="shared" si="47"/>
        <v>0</v>
      </c>
    </row>
    <row r="205" ht="15.75" hidden="1">
      <c r="A205" s="14"/>
      <c r="B205" s="72"/>
      <c r="C205" s="126"/>
      <c r="D205" s="126"/>
      <c r="E205" s="126"/>
      <c r="F205" s="11" t="s">
        <v>33</v>
      </c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0"/>
      <c r="R205" s="35"/>
      <c r="W205" s="32">
        <f t="shared" si="47"/>
        <v>0</v>
      </c>
    </row>
    <row r="206" ht="15.75" hidden="1">
      <c r="A206" s="14"/>
      <c r="B206" s="72"/>
      <c r="C206" s="127"/>
      <c r="D206" s="127"/>
      <c r="E206" s="126"/>
      <c r="F206" s="11" t="s">
        <v>34</v>
      </c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0"/>
      <c r="R206" s="35"/>
      <c r="W206" s="32">
        <f t="shared" si="47"/>
        <v>0</v>
      </c>
    </row>
    <row r="207" s="26" customFormat="1">
      <c r="A207" s="14"/>
      <c r="B207" s="72" t="s">
        <v>87</v>
      </c>
      <c r="C207" s="12" t="s">
        <v>69</v>
      </c>
      <c r="D207" s="12"/>
      <c r="E207" s="14"/>
      <c r="F207" s="11" t="s">
        <v>21</v>
      </c>
      <c r="G207" s="62">
        <f>SUM(G208:G213)</f>
        <v>2350</v>
      </c>
      <c r="H207" s="62">
        <f>SUM(H208:H213)</f>
        <v>100</v>
      </c>
      <c r="I207" s="62">
        <f>SUM(I208:I213)</f>
        <v>2250</v>
      </c>
      <c r="J207" s="62">
        <f>SUM(J208:J213)</f>
        <v>0</v>
      </c>
      <c r="K207" s="62">
        <f>SUM(K208:K213)</f>
        <v>0</v>
      </c>
      <c r="L207" s="62">
        <f>SUM(L208:L213)</f>
        <v>0</v>
      </c>
      <c r="M207" s="62">
        <f>SUM(M208:M213)</f>
        <v>0</v>
      </c>
      <c r="N207" s="62">
        <f>SUM(N208:N213)</f>
        <v>0</v>
      </c>
      <c r="O207" s="62">
        <f>SUM(O208:O213)</f>
        <v>100</v>
      </c>
      <c r="P207" s="62">
        <f>SUM(P208:P213)</f>
        <v>100</v>
      </c>
      <c r="Q207" s="60"/>
      <c r="R207" s="35"/>
      <c r="W207" s="32">
        <f t="shared" si="47"/>
        <v>2250</v>
      </c>
    </row>
    <row r="208" s="8" customFormat="1" ht="55.149999999999999" customHeight="1">
      <c r="A208" s="14"/>
      <c r="B208" s="72"/>
      <c r="C208" s="14"/>
      <c r="D208" s="14"/>
      <c r="E208" s="14"/>
      <c r="F208" s="11" t="s">
        <v>23</v>
      </c>
      <c r="G208" s="62">
        <f>I208+K208+M208+O208</f>
        <v>2350</v>
      </c>
      <c r="H208" s="62">
        <f>J208+L208+N208+P208</f>
        <v>100</v>
      </c>
      <c r="I208" s="62">
        <v>2250</v>
      </c>
      <c r="J208" s="62">
        <v>0</v>
      </c>
      <c r="K208" s="62">
        <v>0</v>
      </c>
      <c r="L208" s="62">
        <v>0</v>
      </c>
      <c r="M208" s="62">
        <v>0</v>
      </c>
      <c r="N208" s="62">
        <v>0</v>
      </c>
      <c r="O208" s="62">
        <v>100</v>
      </c>
      <c r="P208" s="62">
        <f>O208</f>
        <v>100</v>
      </c>
      <c r="Q208" s="60"/>
      <c r="R208" s="108"/>
      <c r="W208" s="32">
        <f t="shared" si="47"/>
        <v>2250</v>
      </c>
    </row>
    <row r="209" ht="36" customHeight="1">
      <c r="A209" s="14"/>
      <c r="B209" s="72"/>
      <c r="C209" s="16"/>
      <c r="D209" s="16"/>
      <c r="E209" s="14"/>
      <c r="F209" s="11" t="s">
        <v>25</v>
      </c>
      <c r="G209" s="81" t="s">
        <v>88</v>
      </c>
      <c r="H209" s="82"/>
      <c r="I209" s="82"/>
      <c r="J209" s="82"/>
      <c r="K209" s="82"/>
      <c r="L209" s="82"/>
      <c r="M209" s="82"/>
      <c r="N209" s="82"/>
      <c r="O209" s="82"/>
      <c r="P209" s="83"/>
      <c r="Q209" s="60"/>
      <c r="R209" s="35"/>
      <c r="W209" s="32">
        <f t="shared" si="47"/>
        <v>0</v>
      </c>
    </row>
    <row r="210" ht="15.75" hidden="1">
      <c r="A210" s="14"/>
      <c r="B210" s="72"/>
      <c r="C210" s="11"/>
      <c r="D210" s="11"/>
      <c r="E210" s="16"/>
      <c r="F210" s="11" t="s">
        <v>26</v>
      </c>
      <c r="G210" s="85"/>
      <c r="H210" s="86"/>
      <c r="I210" s="86"/>
      <c r="J210" s="86"/>
      <c r="K210" s="86"/>
      <c r="L210" s="86"/>
      <c r="M210" s="86"/>
      <c r="N210" s="86"/>
      <c r="O210" s="86"/>
      <c r="P210" s="87"/>
      <c r="Q210" s="60"/>
      <c r="R210" s="35"/>
      <c r="W210" s="32">
        <f t="shared" si="47"/>
        <v>0</v>
      </c>
    </row>
    <row r="211" ht="15.75" hidden="1">
      <c r="A211" s="14"/>
      <c r="B211" s="72"/>
      <c r="C211" s="11"/>
      <c r="D211" s="11"/>
      <c r="E211" s="11"/>
      <c r="F211" s="11" t="s">
        <v>27</v>
      </c>
      <c r="G211" s="85"/>
      <c r="H211" s="86"/>
      <c r="I211" s="86"/>
      <c r="J211" s="86"/>
      <c r="K211" s="86"/>
      <c r="L211" s="86"/>
      <c r="M211" s="86"/>
      <c r="N211" s="86"/>
      <c r="O211" s="86"/>
      <c r="P211" s="87"/>
      <c r="Q211" s="60"/>
      <c r="R211" s="35"/>
      <c r="W211" s="32">
        <f t="shared" si="47"/>
        <v>0</v>
      </c>
    </row>
    <row r="212" ht="15.75" hidden="1">
      <c r="A212" s="14"/>
      <c r="B212" s="72"/>
      <c r="C212" s="11"/>
      <c r="D212" s="11"/>
      <c r="E212" s="11"/>
      <c r="F212" s="11" t="s">
        <v>28</v>
      </c>
      <c r="G212" s="85"/>
      <c r="H212" s="86"/>
      <c r="I212" s="86"/>
      <c r="J212" s="86"/>
      <c r="K212" s="86"/>
      <c r="L212" s="86"/>
      <c r="M212" s="86"/>
      <c r="N212" s="86"/>
      <c r="O212" s="86"/>
      <c r="P212" s="87"/>
      <c r="Q212" s="60"/>
      <c r="R212" s="35"/>
      <c r="W212" s="32">
        <f t="shared" si="47"/>
        <v>0</v>
      </c>
    </row>
    <row r="213" ht="15.75" hidden="1">
      <c r="A213" s="14"/>
      <c r="B213" s="72"/>
      <c r="C213" s="11"/>
      <c r="D213" s="11"/>
      <c r="E213" s="11"/>
      <c r="F213" s="11" t="s">
        <v>29</v>
      </c>
      <c r="G213" s="88"/>
      <c r="H213" s="89"/>
      <c r="I213" s="89"/>
      <c r="J213" s="89"/>
      <c r="K213" s="89"/>
      <c r="L213" s="89"/>
      <c r="M213" s="89"/>
      <c r="N213" s="89"/>
      <c r="O213" s="89"/>
      <c r="P213" s="90"/>
      <c r="Q213" s="60"/>
      <c r="R213" s="35"/>
      <c r="W213" s="32">
        <f t="shared" si="47"/>
        <v>0</v>
      </c>
    </row>
    <row r="214" s="26" customFormat="1">
      <c r="A214" s="14"/>
      <c r="B214" s="72" t="s">
        <v>89</v>
      </c>
      <c r="C214" s="12" t="s">
        <v>69</v>
      </c>
      <c r="D214" s="12"/>
      <c r="E214" s="12"/>
      <c r="F214" s="11" t="s">
        <v>21</v>
      </c>
      <c r="G214" s="62">
        <f>SUM(G215:G220)</f>
        <v>511.80000000000001</v>
      </c>
      <c r="H214" s="62">
        <f>SUM(H215:H220)</f>
        <v>141.40000000000001</v>
      </c>
      <c r="I214" s="62">
        <f>SUM(I215:I220)</f>
        <v>220</v>
      </c>
      <c r="J214" s="62">
        <f>SUM(J215:J220)</f>
        <v>29.600000000000001</v>
      </c>
      <c r="K214" s="62">
        <f>SUM(K215:K220)</f>
        <v>0</v>
      </c>
      <c r="L214" s="62">
        <f>SUM(L215:L220)</f>
        <v>0</v>
      </c>
      <c r="M214" s="62">
        <f>SUM(M215:M220)</f>
        <v>180</v>
      </c>
      <c r="N214" s="62">
        <f>SUM(N215:N220)</f>
        <v>0</v>
      </c>
      <c r="O214" s="62">
        <f>SUM(O215:O220)</f>
        <v>111.8</v>
      </c>
      <c r="P214" s="62">
        <f>SUM(P215:P220)</f>
        <v>111.8</v>
      </c>
      <c r="Q214" s="60"/>
      <c r="R214" s="35"/>
      <c r="W214" s="32">
        <f t="shared" si="47"/>
        <v>190.40000000000001</v>
      </c>
    </row>
    <row r="215" s="8" customFormat="1" ht="57" customHeight="1">
      <c r="A215" s="14"/>
      <c r="B215" s="72"/>
      <c r="C215" s="14"/>
      <c r="D215" s="14"/>
      <c r="E215" s="14"/>
      <c r="F215" s="11" t="s">
        <v>23</v>
      </c>
      <c r="G215" s="62">
        <f>I215+K215+M215+O215</f>
        <v>511.80000000000001</v>
      </c>
      <c r="H215" s="62">
        <f>J215+L215+N215+P215</f>
        <v>141.40000000000001</v>
      </c>
      <c r="I215" s="62">
        <v>220</v>
      </c>
      <c r="J215" s="62">
        <v>29.600000000000001</v>
      </c>
      <c r="K215" s="62">
        <v>0</v>
      </c>
      <c r="L215" s="62">
        <v>0</v>
      </c>
      <c r="M215" s="62">
        <v>180</v>
      </c>
      <c r="N215" s="62">
        <v>0</v>
      </c>
      <c r="O215" s="62">
        <v>111.8</v>
      </c>
      <c r="P215" s="62">
        <f>O215</f>
        <v>111.8</v>
      </c>
      <c r="Q215" s="60"/>
      <c r="R215" s="108"/>
      <c r="W215" s="32">
        <f t="shared" si="47"/>
        <v>190.40000000000001</v>
      </c>
    </row>
    <row r="216" ht="71.450000000000003" customHeight="1">
      <c r="A216" s="14"/>
      <c r="B216" s="72"/>
      <c r="C216" s="16"/>
      <c r="D216" s="16"/>
      <c r="E216" s="14"/>
      <c r="F216" s="11" t="s">
        <v>25</v>
      </c>
      <c r="G216" s="81" t="s">
        <v>88</v>
      </c>
      <c r="H216" s="82"/>
      <c r="I216" s="82"/>
      <c r="J216" s="82"/>
      <c r="K216" s="82"/>
      <c r="L216" s="82"/>
      <c r="M216" s="82"/>
      <c r="N216" s="82"/>
      <c r="O216" s="82"/>
      <c r="P216" s="83"/>
      <c r="Q216" s="60"/>
      <c r="R216" s="35"/>
      <c r="W216" s="32">
        <f t="shared" si="47"/>
        <v>0</v>
      </c>
    </row>
    <row r="217" ht="15.75" hidden="1">
      <c r="A217" s="14"/>
      <c r="B217" s="72"/>
      <c r="C217" s="11"/>
      <c r="D217" s="11"/>
      <c r="E217" s="16"/>
      <c r="F217" s="11" t="s">
        <v>26</v>
      </c>
      <c r="G217" s="85"/>
      <c r="H217" s="86"/>
      <c r="I217" s="86"/>
      <c r="J217" s="86"/>
      <c r="K217" s="86"/>
      <c r="L217" s="86"/>
      <c r="M217" s="86"/>
      <c r="N217" s="86"/>
      <c r="O217" s="86"/>
      <c r="P217" s="87"/>
      <c r="Q217" s="60"/>
      <c r="R217" s="35"/>
      <c r="W217" s="32">
        <f t="shared" si="47"/>
        <v>0</v>
      </c>
    </row>
    <row r="218" ht="15.75" hidden="1">
      <c r="A218" s="14"/>
      <c r="B218" s="72"/>
      <c r="C218" s="11"/>
      <c r="D218" s="11"/>
      <c r="E218" s="11"/>
      <c r="F218" s="11" t="s">
        <v>27</v>
      </c>
      <c r="G218" s="85"/>
      <c r="H218" s="86"/>
      <c r="I218" s="86"/>
      <c r="J218" s="86"/>
      <c r="K218" s="86"/>
      <c r="L218" s="86"/>
      <c r="M218" s="86"/>
      <c r="N218" s="86"/>
      <c r="O218" s="86"/>
      <c r="P218" s="87"/>
      <c r="Q218" s="60"/>
      <c r="R218" s="35"/>
      <c r="W218" s="32">
        <f t="shared" si="47"/>
        <v>0</v>
      </c>
    </row>
    <row r="219" ht="15.75" hidden="1">
      <c r="A219" s="14"/>
      <c r="B219" s="72"/>
      <c r="C219" s="11"/>
      <c r="D219" s="11"/>
      <c r="E219" s="11"/>
      <c r="F219" s="11" t="s">
        <v>28</v>
      </c>
      <c r="G219" s="85"/>
      <c r="H219" s="86"/>
      <c r="I219" s="86"/>
      <c r="J219" s="86"/>
      <c r="K219" s="86"/>
      <c r="L219" s="86"/>
      <c r="M219" s="86"/>
      <c r="N219" s="86"/>
      <c r="O219" s="86"/>
      <c r="P219" s="87"/>
      <c r="Q219" s="60"/>
      <c r="R219" s="35"/>
      <c r="W219" s="32">
        <f t="shared" si="47"/>
        <v>0</v>
      </c>
    </row>
    <row r="220" ht="15.75" hidden="1">
      <c r="A220" s="14"/>
      <c r="B220" s="72"/>
      <c r="C220" s="11"/>
      <c r="D220" s="11"/>
      <c r="E220" s="11"/>
      <c r="F220" s="11" t="s">
        <v>29</v>
      </c>
      <c r="G220" s="88"/>
      <c r="H220" s="89"/>
      <c r="I220" s="89"/>
      <c r="J220" s="89"/>
      <c r="K220" s="89"/>
      <c r="L220" s="89"/>
      <c r="M220" s="89"/>
      <c r="N220" s="89"/>
      <c r="O220" s="89"/>
      <c r="P220" s="90"/>
      <c r="Q220" s="60"/>
      <c r="R220" s="35"/>
      <c r="W220" s="32">
        <f t="shared" si="47"/>
        <v>0</v>
      </c>
    </row>
    <row r="221" s="26" customFormat="1">
      <c r="A221" s="14"/>
      <c r="B221" s="72" t="s">
        <v>90</v>
      </c>
      <c r="C221" s="12" t="s">
        <v>69</v>
      </c>
      <c r="D221" s="12"/>
      <c r="E221" s="12"/>
      <c r="F221" s="11" t="s">
        <v>21</v>
      </c>
      <c r="G221" s="62">
        <f>SUM(G222:G227)</f>
        <v>1300</v>
      </c>
      <c r="H221" s="62">
        <f>SUM(H222:H227)</f>
        <v>600</v>
      </c>
      <c r="I221" s="62">
        <f>SUM(I222:I227)</f>
        <v>500</v>
      </c>
      <c r="J221" s="62">
        <f>SUM(J222:J227)</f>
        <v>0</v>
      </c>
      <c r="K221" s="62">
        <f>SUM(K222:K227)</f>
        <v>0</v>
      </c>
      <c r="L221" s="62">
        <f>SUM(L222:L227)</f>
        <v>0</v>
      </c>
      <c r="M221" s="62">
        <f>SUM(M222:M227)</f>
        <v>200</v>
      </c>
      <c r="N221" s="62">
        <f>SUM(N222:N227)</f>
        <v>0</v>
      </c>
      <c r="O221" s="62">
        <f>SUM(O222:O227)</f>
        <v>600</v>
      </c>
      <c r="P221" s="62">
        <f>SUM(P222:P227)</f>
        <v>600</v>
      </c>
      <c r="Q221" s="60"/>
      <c r="R221" s="35"/>
      <c r="W221" s="32">
        <f t="shared" si="47"/>
        <v>500</v>
      </c>
    </row>
    <row r="222" s="8" customFormat="1" ht="48" customHeight="1">
      <c r="A222" s="14"/>
      <c r="B222" s="72"/>
      <c r="C222" s="14"/>
      <c r="D222" s="14"/>
      <c r="E222" s="14"/>
      <c r="F222" s="11" t="s">
        <v>23</v>
      </c>
      <c r="G222" s="62">
        <f>I222+K222+M222+O222</f>
        <v>1300</v>
      </c>
      <c r="H222" s="62">
        <f>J222+L222+N222+P222</f>
        <v>600</v>
      </c>
      <c r="I222" s="62">
        <f>500+J222</f>
        <v>500</v>
      </c>
      <c r="J222" s="62">
        <v>0</v>
      </c>
      <c r="K222" s="62">
        <v>0</v>
      </c>
      <c r="L222" s="62">
        <v>0</v>
      </c>
      <c r="M222" s="62">
        <v>200</v>
      </c>
      <c r="N222" s="62">
        <v>0</v>
      </c>
      <c r="O222" s="62">
        <v>600</v>
      </c>
      <c r="P222" s="62">
        <f>O222</f>
        <v>600</v>
      </c>
      <c r="Q222" s="60"/>
      <c r="R222" s="108"/>
      <c r="W222" s="32">
        <f t="shared" si="47"/>
        <v>500</v>
      </c>
    </row>
    <row r="223" ht="93.599999999999994" customHeight="1">
      <c r="A223" s="14"/>
      <c r="B223" s="72"/>
      <c r="C223" s="16"/>
      <c r="D223" s="16"/>
      <c r="E223" s="14"/>
      <c r="F223" s="11" t="s">
        <v>25</v>
      </c>
      <c r="G223" s="81" t="s">
        <v>88</v>
      </c>
      <c r="H223" s="82"/>
      <c r="I223" s="82"/>
      <c r="J223" s="82"/>
      <c r="K223" s="82"/>
      <c r="L223" s="82"/>
      <c r="M223" s="82"/>
      <c r="N223" s="82"/>
      <c r="O223" s="82"/>
      <c r="P223" s="83"/>
      <c r="Q223" s="60"/>
      <c r="R223" s="35"/>
      <c r="W223" s="32">
        <f t="shared" si="47"/>
        <v>0</v>
      </c>
    </row>
    <row r="224" ht="15.75" hidden="1">
      <c r="A224" s="14"/>
      <c r="B224" s="72"/>
      <c r="C224" s="11"/>
      <c r="D224" s="11"/>
      <c r="E224" s="16"/>
      <c r="F224" s="11" t="s">
        <v>26</v>
      </c>
      <c r="G224" s="85"/>
      <c r="H224" s="86"/>
      <c r="I224" s="86"/>
      <c r="J224" s="86"/>
      <c r="K224" s="86"/>
      <c r="L224" s="86"/>
      <c r="M224" s="86"/>
      <c r="N224" s="86"/>
      <c r="O224" s="86"/>
      <c r="P224" s="87"/>
      <c r="Q224" s="60"/>
      <c r="R224" s="35"/>
      <c r="W224" s="32">
        <f t="shared" si="47"/>
        <v>0</v>
      </c>
    </row>
    <row r="225" ht="15.75" hidden="1">
      <c r="A225" s="14"/>
      <c r="B225" s="72"/>
      <c r="C225" s="11"/>
      <c r="D225" s="11"/>
      <c r="E225" s="11"/>
      <c r="F225" s="11" t="s">
        <v>27</v>
      </c>
      <c r="G225" s="85"/>
      <c r="H225" s="86"/>
      <c r="I225" s="86"/>
      <c r="J225" s="86"/>
      <c r="K225" s="86"/>
      <c r="L225" s="86"/>
      <c r="M225" s="86"/>
      <c r="N225" s="86"/>
      <c r="O225" s="86"/>
      <c r="P225" s="87"/>
      <c r="Q225" s="60"/>
      <c r="R225" s="35"/>
      <c r="W225" s="32">
        <f t="shared" si="47"/>
        <v>0</v>
      </c>
    </row>
    <row r="226" ht="15.75" hidden="1">
      <c r="A226" s="14"/>
      <c r="B226" s="72"/>
      <c r="C226" s="11"/>
      <c r="D226" s="11"/>
      <c r="E226" s="11"/>
      <c r="F226" s="11" t="s">
        <v>28</v>
      </c>
      <c r="G226" s="85"/>
      <c r="H226" s="86"/>
      <c r="I226" s="86"/>
      <c r="J226" s="86"/>
      <c r="K226" s="86"/>
      <c r="L226" s="86"/>
      <c r="M226" s="86"/>
      <c r="N226" s="86"/>
      <c r="O226" s="86"/>
      <c r="P226" s="87"/>
      <c r="Q226" s="60"/>
      <c r="R226" s="35"/>
      <c r="W226" s="32">
        <f t="shared" si="47"/>
        <v>0</v>
      </c>
    </row>
    <row r="227" ht="15.75" hidden="1">
      <c r="A227" s="14"/>
      <c r="B227" s="72"/>
      <c r="C227" s="11"/>
      <c r="D227" s="11"/>
      <c r="E227" s="11"/>
      <c r="F227" s="11" t="s">
        <v>29</v>
      </c>
      <c r="G227" s="88"/>
      <c r="H227" s="89"/>
      <c r="I227" s="89"/>
      <c r="J227" s="89"/>
      <c r="K227" s="89"/>
      <c r="L227" s="89"/>
      <c r="M227" s="89"/>
      <c r="N227" s="89"/>
      <c r="O227" s="89"/>
      <c r="P227" s="90"/>
      <c r="Q227" s="60"/>
      <c r="R227" s="35"/>
      <c r="W227" s="32">
        <f t="shared" si="47"/>
        <v>0</v>
      </c>
    </row>
    <row r="228" ht="15.75" hidden="1">
      <c r="A228" s="14"/>
      <c r="B228" s="72" t="s">
        <v>91</v>
      </c>
      <c r="C228" s="11"/>
      <c r="D228" s="11"/>
      <c r="E228" s="11"/>
      <c r="F228" s="11" t="s">
        <v>21</v>
      </c>
      <c r="G228" s="62">
        <f>SUM(G229:G234)</f>
        <v>0</v>
      </c>
      <c r="H228" s="62">
        <f>SUM(H229:H234)</f>
        <v>0</v>
      </c>
      <c r="I228" s="62">
        <f>SUM(I229:I234)</f>
        <v>0</v>
      </c>
      <c r="J228" s="62">
        <f>SUM(J229:J234)</f>
        <v>0</v>
      </c>
      <c r="K228" s="62">
        <f>SUM(K229:K234)</f>
        <v>0</v>
      </c>
      <c r="L228" s="62">
        <f>SUM(L229:L234)</f>
        <v>0</v>
      </c>
      <c r="M228" s="62">
        <f>SUM(M229:M234)</f>
        <v>0</v>
      </c>
      <c r="N228" s="62">
        <f>SUM(N229:N234)</f>
        <v>0</v>
      </c>
      <c r="O228" s="62">
        <f>SUM(O229:O234)</f>
        <v>0</v>
      </c>
      <c r="P228" s="62">
        <f>SUM(P229:P234)</f>
        <v>0</v>
      </c>
      <c r="Q228" s="60"/>
      <c r="R228" s="35"/>
      <c r="W228" s="32">
        <f t="shared" si="47"/>
        <v>0</v>
      </c>
    </row>
    <row r="229" s="73" customFormat="1" hidden="1">
      <c r="A229" s="14"/>
      <c r="B229" s="72"/>
      <c r="C229" s="11"/>
      <c r="D229" s="11"/>
      <c r="E229" s="11"/>
      <c r="F229" s="11" t="s">
        <v>23</v>
      </c>
      <c r="G229" s="62">
        <f>I229+K229+M229+O229</f>
        <v>0</v>
      </c>
      <c r="H229" s="62">
        <f>J229+L229+N229+P229</f>
        <v>0</v>
      </c>
      <c r="I229" s="62"/>
      <c r="J229" s="62">
        <v>0</v>
      </c>
      <c r="K229" s="62">
        <v>0</v>
      </c>
      <c r="L229" s="62">
        <v>0</v>
      </c>
      <c r="M229" s="62">
        <v>0</v>
      </c>
      <c r="N229" s="62">
        <v>0</v>
      </c>
      <c r="O229" s="62">
        <f t="shared" ref="O229:O234" si="50">P229</f>
        <v>0</v>
      </c>
      <c r="P229" s="62">
        <v>0</v>
      </c>
      <c r="Q229" s="60"/>
      <c r="R229" s="108"/>
      <c r="W229" s="32">
        <f t="shared" si="47"/>
        <v>0</v>
      </c>
    </row>
    <row r="230" s="128" customFormat="1" hidden="1">
      <c r="A230" s="14"/>
      <c r="B230" s="72"/>
      <c r="C230" s="11"/>
      <c r="D230" s="11"/>
      <c r="E230" s="11"/>
      <c r="F230" s="11" t="s">
        <v>25</v>
      </c>
      <c r="G230" s="62">
        <f>I230+K230+M230+O230</f>
        <v>0</v>
      </c>
      <c r="H230" s="62">
        <f>J230+L230+N230+P230</f>
        <v>0</v>
      </c>
      <c r="I230" s="62">
        <v>0</v>
      </c>
      <c r="J230" s="62">
        <v>0</v>
      </c>
      <c r="K230" s="62">
        <v>0</v>
      </c>
      <c r="L230" s="62">
        <v>0</v>
      </c>
      <c r="M230" s="62">
        <v>0</v>
      </c>
      <c r="N230" s="62">
        <v>0</v>
      </c>
      <c r="O230" s="62">
        <f t="shared" si="50"/>
        <v>0</v>
      </c>
      <c r="P230" s="62">
        <v>0</v>
      </c>
      <c r="Q230" s="60"/>
      <c r="R230" s="35"/>
      <c r="W230" s="32">
        <f t="shared" si="47"/>
        <v>0</v>
      </c>
    </row>
    <row r="231" s="128" customFormat="1" hidden="1">
      <c r="A231" s="14"/>
      <c r="B231" s="72"/>
      <c r="C231" s="11"/>
      <c r="D231" s="11"/>
      <c r="E231" s="11"/>
      <c r="F231" s="11" t="s">
        <v>26</v>
      </c>
      <c r="G231" s="62">
        <f>I231+K231+M231+O231</f>
        <v>0</v>
      </c>
      <c r="H231" s="62">
        <f>J231+L231+N231+P231</f>
        <v>0</v>
      </c>
      <c r="I231" s="62">
        <v>0</v>
      </c>
      <c r="J231" s="62">
        <v>0</v>
      </c>
      <c r="K231" s="62">
        <v>0</v>
      </c>
      <c r="L231" s="62">
        <v>0</v>
      </c>
      <c r="M231" s="62">
        <v>0</v>
      </c>
      <c r="N231" s="62">
        <v>0</v>
      </c>
      <c r="O231" s="62">
        <f t="shared" si="50"/>
        <v>0</v>
      </c>
      <c r="P231" s="62">
        <v>0</v>
      </c>
      <c r="Q231" s="60"/>
      <c r="R231" s="35"/>
      <c r="W231" s="32">
        <f t="shared" si="47"/>
        <v>0</v>
      </c>
    </row>
    <row r="232" s="128" customFormat="1" hidden="1">
      <c r="A232" s="14"/>
      <c r="B232" s="72"/>
      <c r="C232" s="11"/>
      <c r="D232" s="11"/>
      <c r="E232" s="11"/>
      <c r="F232" s="11" t="s">
        <v>27</v>
      </c>
      <c r="G232" s="62">
        <f>I232+K232+M232+O232</f>
        <v>0</v>
      </c>
      <c r="H232" s="62">
        <f>J232+L232+N232+P232</f>
        <v>0</v>
      </c>
      <c r="I232" s="62">
        <v>0</v>
      </c>
      <c r="J232" s="62">
        <v>0</v>
      </c>
      <c r="K232" s="62">
        <v>0</v>
      </c>
      <c r="L232" s="62">
        <v>0</v>
      </c>
      <c r="M232" s="62">
        <v>0</v>
      </c>
      <c r="N232" s="62">
        <v>0</v>
      </c>
      <c r="O232" s="62">
        <f t="shared" si="50"/>
        <v>0</v>
      </c>
      <c r="P232" s="62">
        <v>0</v>
      </c>
      <c r="Q232" s="60"/>
      <c r="R232" s="35"/>
      <c r="W232" s="32">
        <f t="shared" si="47"/>
        <v>0</v>
      </c>
    </row>
    <row r="233" s="128" customFormat="1" hidden="1">
      <c r="A233" s="14"/>
      <c r="B233" s="72"/>
      <c r="C233" s="11"/>
      <c r="D233" s="11"/>
      <c r="E233" s="11"/>
      <c r="F233" s="11" t="s">
        <v>28</v>
      </c>
      <c r="G233" s="62">
        <f>I233+K233+M233+O233</f>
        <v>0</v>
      </c>
      <c r="H233" s="62">
        <f>J233+L233+N233+P233</f>
        <v>0</v>
      </c>
      <c r="I233" s="62">
        <v>0</v>
      </c>
      <c r="J233" s="62">
        <v>0</v>
      </c>
      <c r="K233" s="62">
        <v>0</v>
      </c>
      <c r="L233" s="62">
        <v>0</v>
      </c>
      <c r="M233" s="62">
        <v>0</v>
      </c>
      <c r="N233" s="62">
        <v>0</v>
      </c>
      <c r="O233" s="62">
        <f t="shared" si="50"/>
        <v>0</v>
      </c>
      <c r="P233" s="62">
        <v>0</v>
      </c>
      <c r="Q233" s="60"/>
      <c r="R233" s="35"/>
      <c r="W233" s="32">
        <f t="shared" si="47"/>
        <v>0</v>
      </c>
    </row>
    <row r="234" s="128" customFormat="1" hidden="1">
      <c r="A234" s="14"/>
      <c r="B234" s="72"/>
      <c r="C234" s="11"/>
      <c r="D234" s="11"/>
      <c r="E234" s="11"/>
      <c r="F234" s="11" t="s">
        <v>29</v>
      </c>
      <c r="G234" s="62">
        <f>I234+K234+M234+O234</f>
        <v>0</v>
      </c>
      <c r="H234" s="62">
        <f>J234+L234+N234+P234</f>
        <v>0</v>
      </c>
      <c r="I234" s="62">
        <v>0</v>
      </c>
      <c r="J234" s="62">
        <v>0</v>
      </c>
      <c r="K234" s="62">
        <v>0</v>
      </c>
      <c r="L234" s="62">
        <v>0</v>
      </c>
      <c r="M234" s="62">
        <v>0</v>
      </c>
      <c r="N234" s="62">
        <v>0</v>
      </c>
      <c r="O234" s="62">
        <f t="shared" si="50"/>
        <v>0</v>
      </c>
      <c r="P234" s="62">
        <v>0</v>
      </c>
      <c r="Q234" s="60"/>
      <c r="R234" s="35"/>
      <c r="W234" s="32">
        <f t="shared" si="47"/>
        <v>0</v>
      </c>
    </row>
    <row r="235" s="129" customFormat="1">
      <c r="A235" s="14"/>
      <c r="B235" s="130" t="s">
        <v>92</v>
      </c>
      <c r="C235" s="92"/>
      <c r="D235" s="12" t="s">
        <v>55</v>
      </c>
      <c r="E235" s="12" t="s">
        <v>93</v>
      </c>
      <c r="F235" s="11" t="s">
        <v>21</v>
      </c>
      <c r="G235" s="62">
        <f>SUM(G236:G246)</f>
        <v>22214.099999999999</v>
      </c>
      <c r="H235" s="62">
        <f>SUM(H236:H246)</f>
        <v>4280.5</v>
      </c>
      <c r="I235" s="62">
        <f>SUM(I236:I246)</f>
        <v>21030</v>
      </c>
      <c r="J235" s="62">
        <f>SUM(J236:J246)</f>
        <v>3096.3999999999996</v>
      </c>
      <c r="K235" s="62">
        <f>SUM(K236:K246)</f>
        <v>0</v>
      </c>
      <c r="L235" s="62">
        <f>SUM(L236:L246)</f>
        <v>0</v>
      </c>
      <c r="M235" s="62">
        <f>SUM(M236:M246)</f>
        <v>0</v>
      </c>
      <c r="N235" s="62">
        <f>SUM(N236:N246)</f>
        <v>0</v>
      </c>
      <c r="O235" s="62">
        <f>SUM(O236:O246)</f>
        <v>1184.0999999999999</v>
      </c>
      <c r="P235" s="62">
        <f>SUM(P236:P246)</f>
        <v>1184.0999999999999</v>
      </c>
      <c r="Q235" s="60"/>
      <c r="R235" s="35"/>
      <c r="W235" s="32">
        <f t="shared" si="47"/>
        <v>17933.599999999999</v>
      </c>
    </row>
    <row r="236" s="8" customFormat="1">
      <c r="A236" s="14"/>
      <c r="B236" s="130"/>
      <c r="C236" s="11" t="s">
        <v>94</v>
      </c>
      <c r="D236" s="14"/>
      <c r="E236" s="14"/>
      <c r="F236" s="11" t="s">
        <v>23</v>
      </c>
      <c r="G236" s="62">
        <f>I236+K236+M236+O236</f>
        <v>195</v>
      </c>
      <c r="H236" s="62">
        <f>J236+L236+N236+P236</f>
        <v>89</v>
      </c>
      <c r="I236" s="62">
        <v>106</v>
      </c>
      <c r="J236" s="62">
        <v>0</v>
      </c>
      <c r="K236" s="62">
        <v>0</v>
      </c>
      <c r="L236" s="62">
        <v>0</v>
      </c>
      <c r="M236" s="62">
        <v>0</v>
      </c>
      <c r="N236" s="62">
        <v>0</v>
      </c>
      <c r="O236" s="62">
        <v>89</v>
      </c>
      <c r="P236" s="62">
        <f>O236</f>
        <v>89</v>
      </c>
      <c r="Q236" s="60"/>
      <c r="R236" s="108"/>
      <c r="W236" s="32">
        <f t="shared" si="47"/>
        <v>106</v>
      </c>
    </row>
    <row r="237" ht="15.6" customHeight="1">
      <c r="A237" s="14"/>
      <c r="B237" s="130"/>
      <c r="C237" s="12" t="s">
        <v>95</v>
      </c>
      <c r="D237" s="14"/>
      <c r="E237" s="14"/>
      <c r="F237" s="11" t="s">
        <v>25</v>
      </c>
      <c r="G237" s="62">
        <f>I237+K237+M237+O237</f>
        <v>1160</v>
      </c>
      <c r="H237" s="62">
        <f>J237+L237+N237+P237</f>
        <v>1160</v>
      </c>
      <c r="I237" s="62">
        <f t="shared" ref="I237:I238" si="51">J237</f>
        <v>1160</v>
      </c>
      <c r="J237" s="62">
        <f>666+560-66</f>
        <v>1160</v>
      </c>
      <c r="K237" s="62">
        <v>0</v>
      </c>
      <c r="L237" s="62">
        <v>0</v>
      </c>
      <c r="M237" s="62">
        <v>0</v>
      </c>
      <c r="N237" s="62">
        <v>0</v>
      </c>
      <c r="O237" s="62">
        <v>0</v>
      </c>
      <c r="P237" s="62">
        <v>0</v>
      </c>
      <c r="Q237" s="60"/>
      <c r="R237" s="35"/>
      <c r="W237" s="32">
        <f t="shared" si="47"/>
        <v>0</v>
      </c>
    </row>
    <row r="238" ht="15.6" customHeight="1">
      <c r="A238" s="14"/>
      <c r="B238" s="130"/>
      <c r="C238" s="14"/>
      <c r="D238" s="14"/>
      <c r="E238" s="14"/>
      <c r="F238" s="11" t="s">
        <v>26</v>
      </c>
      <c r="G238" s="62">
        <f>I238+K238+M238+O238</f>
        <v>106</v>
      </c>
      <c r="H238" s="62">
        <f>J238+L238+N238+P238</f>
        <v>106</v>
      </c>
      <c r="I238" s="62">
        <f t="shared" si="51"/>
        <v>106</v>
      </c>
      <c r="J238" s="62">
        <v>106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0</v>
      </c>
      <c r="Q238" s="60"/>
      <c r="R238" s="35"/>
      <c r="W238" s="32">
        <f t="shared" si="47"/>
        <v>0</v>
      </c>
    </row>
    <row r="239" ht="90.75" customHeight="1">
      <c r="A239" s="14"/>
      <c r="B239" s="130"/>
      <c r="C239" s="14"/>
      <c r="D239" s="14"/>
      <c r="E239" s="14"/>
      <c r="F239" s="11" t="s">
        <v>27</v>
      </c>
      <c r="G239" s="62">
        <f>I239+K239+M239+O239</f>
        <v>106</v>
      </c>
      <c r="H239" s="62">
        <f>J239+L239+N239+P239</f>
        <v>0</v>
      </c>
      <c r="I239" s="62">
        <v>106</v>
      </c>
      <c r="J239" s="62">
        <f>106-106</f>
        <v>0</v>
      </c>
      <c r="K239" s="62">
        <v>0</v>
      </c>
      <c r="L239" s="62">
        <v>0</v>
      </c>
      <c r="M239" s="62">
        <v>0</v>
      </c>
      <c r="N239" s="62">
        <v>0</v>
      </c>
      <c r="O239" s="62">
        <v>0</v>
      </c>
      <c r="P239" s="62">
        <v>0</v>
      </c>
      <c r="Q239" s="60"/>
      <c r="R239" s="35"/>
      <c r="W239" s="32">
        <f t="shared" si="47"/>
        <v>106</v>
      </c>
    </row>
    <row r="240" ht="15.75">
      <c r="A240" s="14"/>
      <c r="B240" s="130"/>
      <c r="C240" s="14"/>
      <c r="D240" s="14"/>
      <c r="E240" s="14"/>
      <c r="F240" s="11" t="s">
        <v>28</v>
      </c>
      <c r="G240" s="62">
        <f>I240+K240+M240+O240</f>
        <v>106</v>
      </c>
      <c r="H240" s="62">
        <f>J240+L240+N240+P240</f>
        <v>106</v>
      </c>
      <c r="I240" s="62">
        <v>106</v>
      </c>
      <c r="J240" s="62">
        <v>106</v>
      </c>
      <c r="K240" s="62">
        <v>0</v>
      </c>
      <c r="L240" s="62">
        <v>0</v>
      </c>
      <c r="M240" s="62">
        <v>0</v>
      </c>
      <c r="N240" s="62">
        <v>0</v>
      </c>
      <c r="O240" s="62">
        <v>0</v>
      </c>
      <c r="P240" s="62">
        <v>0</v>
      </c>
      <c r="Q240" s="60"/>
      <c r="R240" s="35"/>
      <c r="W240" s="32">
        <f t="shared" si="47"/>
        <v>0</v>
      </c>
    </row>
    <row r="241" ht="15.75">
      <c r="A241" s="14"/>
      <c r="B241" s="130"/>
      <c r="C241" s="14"/>
      <c r="D241" s="14"/>
      <c r="E241" s="14"/>
      <c r="F241" s="11" t="s">
        <v>29</v>
      </c>
      <c r="G241" s="62">
        <f>I241+K241+M241+O241</f>
        <v>3379.9000000000001</v>
      </c>
      <c r="H241" s="62">
        <f>J241+L241+N241+P241</f>
        <v>344.89999999999998</v>
      </c>
      <c r="I241" s="62">
        <f>106+1135+2000</f>
        <v>3241</v>
      </c>
      <c r="J241" s="62">
        <v>206</v>
      </c>
      <c r="K241" s="62">
        <v>0</v>
      </c>
      <c r="L241" s="62">
        <v>0</v>
      </c>
      <c r="M241" s="62">
        <v>0</v>
      </c>
      <c r="N241" s="62">
        <v>0</v>
      </c>
      <c r="O241" s="62">
        <v>138.90000000000001</v>
      </c>
      <c r="P241" s="62">
        <v>138.90000000000001</v>
      </c>
      <c r="Q241" s="60"/>
      <c r="R241" s="75"/>
      <c r="W241" s="32">
        <f t="shared" si="47"/>
        <v>3035</v>
      </c>
    </row>
    <row r="242" ht="15.75">
      <c r="A242" s="14"/>
      <c r="B242" s="130"/>
      <c r="C242" s="14"/>
      <c r="D242" s="14"/>
      <c r="E242" s="14"/>
      <c r="F242" s="11" t="s">
        <v>30</v>
      </c>
      <c r="G242" s="62">
        <f>I242+K242+M242+O242</f>
        <v>3914.8000000000002</v>
      </c>
      <c r="H242" s="62">
        <f>J242+L242+N242+P242</f>
        <v>1026.9000000000001</v>
      </c>
      <c r="I242" s="62">
        <f t="shared" ref="I242:I246" si="52">I241</f>
        <v>3241</v>
      </c>
      <c r="J242" s="62">
        <v>353.10000000000002</v>
      </c>
      <c r="K242" s="62">
        <v>0</v>
      </c>
      <c r="L242" s="62">
        <v>0</v>
      </c>
      <c r="M242" s="62">
        <v>0</v>
      </c>
      <c r="N242" s="62">
        <v>0</v>
      </c>
      <c r="O242" s="62">
        <v>673.79999999999995</v>
      </c>
      <c r="P242" s="62">
        <f>O242</f>
        <v>673.79999999999995</v>
      </c>
      <c r="Q242" s="60"/>
      <c r="R242" s="35"/>
      <c r="W242" s="32">
        <f t="shared" si="47"/>
        <v>2887.9000000000001</v>
      </c>
    </row>
    <row r="243" ht="15.75">
      <c r="A243" s="14"/>
      <c r="B243" s="130"/>
      <c r="C243" s="14"/>
      <c r="D243" s="14"/>
      <c r="E243" s="14"/>
      <c r="F243" s="11" t="s">
        <v>31</v>
      </c>
      <c r="G243" s="62">
        <f>I243+K243+M243+O243</f>
        <v>3523.4000000000001</v>
      </c>
      <c r="H243" s="62">
        <f>J243+L243+N243+P243</f>
        <v>635.5</v>
      </c>
      <c r="I243" s="62">
        <f t="shared" si="52"/>
        <v>3241</v>
      </c>
      <c r="J243" s="62">
        <v>353.10000000000002</v>
      </c>
      <c r="K243" s="62">
        <v>0</v>
      </c>
      <c r="L243" s="62">
        <v>0</v>
      </c>
      <c r="M243" s="62">
        <v>0</v>
      </c>
      <c r="N243" s="62">
        <v>0</v>
      </c>
      <c r="O243" s="62">
        <f>P243</f>
        <v>282.39999999999998</v>
      </c>
      <c r="P243" s="62">
        <v>282.39999999999998</v>
      </c>
      <c r="Q243" s="60"/>
      <c r="R243" s="35"/>
      <c r="W243" s="32">
        <f t="shared" si="47"/>
        <v>2887.9000000000001</v>
      </c>
    </row>
    <row r="244" ht="15.75">
      <c r="A244" s="14"/>
      <c r="B244" s="130"/>
      <c r="C244" s="14"/>
      <c r="D244" s="14"/>
      <c r="E244" s="14"/>
      <c r="F244" s="11" t="s">
        <v>32</v>
      </c>
      <c r="G244" s="62">
        <f>I244+K244+M244+O244</f>
        <v>3241</v>
      </c>
      <c r="H244" s="62">
        <f>J244+L244+N244+P244</f>
        <v>353.10000000000002</v>
      </c>
      <c r="I244" s="62">
        <f t="shared" si="52"/>
        <v>3241</v>
      </c>
      <c r="J244" s="62">
        <v>353.10000000000002</v>
      </c>
      <c r="K244" s="62">
        <v>0</v>
      </c>
      <c r="L244" s="62">
        <v>0</v>
      </c>
      <c r="M244" s="62">
        <v>0</v>
      </c>
      <c r="N244" s="62">
        <v>0</v>
      </c>
      <c r="O244" s="62">
        <v>0</v>
      </c>
      <c r="P244" s="62">
        <v>0</v>
      </c>
      <c r="Q244" s="60"/>
      <c r="R244" s="35"/>
      <c r="W244" s="32">
        <f t="shared" si="47"/>
        <v>2887.9000000000001</v>
      </c>
      <c r="X244" s="74">
        <f>I244-J244</f>
        <v>2887.9000000000001</v>
      </c>
    </row>
    <row r="245" ht="31.5" customHeight="1">
      <c r="A245" s="14"/>
      <c r="B245" s="130"/>
      <c r="C245" s="14"/>
      <c r="D245" s="14"/>
      <c r="E245" s="14"/>
      <c r="F245" s="11" t="s">
        <v>33</v>
      </c>
      <c r="G245" s="62">
        <f>I245+K245+M245+O245</f>
        <v>3241</v>
      </c>
      <c r="H245" s="62">
        <f>J245+L245+N245+P245</f>
        <v>353.10000000000002</v>
      </c>
      <c r="I245" s="62">
        <f t="shared" si="52"/>
        <v>3241</v>
      </c>
      <c r="J245" s="62">
        <v>353.10000000000002</v>
      </c>
      <c r="K245" s="62">
        <v>0</v>
      </c>
      <c r="L245" s="62">
        <v>0</v>
      </c>
      <c r="M245" s="62">
        <v>0</v>
      </c>
      <c r="N245" s="62">
        <v>0</v>
      </c>
      <c r="O245" s="62">
        <v>0</v>
      </c>
      <c r="P245" s="62">
        <v>0</v>
      </c>
      <c r="Q245" s="60"/>
      <c r="R245" s="35"/>
      <c r="W245" s="32">
        <f t="shared" si="47"/>
        <v>2887.9000000000001</v>
      </c>
      <c r="X245" s="1"/>
    </row>
    <row r="246" ht="15.75">
      <c r="A246" s="16"/>
      <c r="B246" s="130"/>
      <c r="C246" s="16"/>
      <c r="D246" s="16"/>
      <c r="E246" s="16"/>
      <c r="F246" s="11" t="s">
        <v>34</v>
      </c>
      <c r="G246" s="62">
        <f>I246+K246+M246+O246</f>
        <v>3241</v>
      </c>
      <c r="H246" s="62">
        <f>J246+L246+N246+P246</f>
        <v>106</v>
      </c>
      <c r="I246" s="62">
        <f t="shared" si="52"/>
        <v>3241</v>
      </c>
      <c r="J246" s="62">
        <v>106</v>
      </c>
      <c r="K246" s="62">
        <v>0</v>
      </c>
      <c r="L246" s="62">
        <v>0</v>
      </c>
      <c r="M246" s="62">
        <v>0</v>
      </c>
      <c r="N246" s="62">
        <v>0</v>
      </c>
      <c r="O246" s="62">
        <v>0</v>
      </c>
      <c r="P246" s="62">
        <v>0</v>
      </c>
      <c r="Q246" s="99"/>
      <c r="R246" s="35"/>
      <c r="W246" s="32">
        <f t="shared" si="47"/>
        <v>3135</v>
      </c>
    </row>
    <row r="247" ht="15.6" customHeight="1">
      <c r="A247" s="22"/>
      <c r="B247" s="58" t="s">
        <v>96</v>
      </c>
      <c r="C247" s="13"/>
      <c r="D247" s="22"/>
      <c r="E247" s="22"/>
      <c r="F247" s="13" t="s">
        <v>21</v>
      </c>
      <c r="G247" s="23">
        <f>SUM(G248:G258)</f>
        <v>2081793.5529999998</v>
      </c>
      <c r="H247" s="23">
        <f>SUM(H248:H258)</f>
        <v>1663758.9629999998</v>
      </c>
      <c r="I247" s="23">
        <f>SUM(I248:I258)</f>
        <v>1376910.72</v>
      </c>
      <c r="J247" s="23">
        <f>SUM(J248:J258)</f>
        <v>1140136.3299999998</v>
      </c>
      <c r="K247" s="23">
        <f>SUM(K248:K258)</f>
        <v>938.5</v>
      </c>
      <c r="L247" s="23">
        <f>SUM(L248:L258)</f>
        <v>518.5</v>
      </c>
      <c r="M247" s="23">
        <f>SUM(M248:M258)</f>
        <v>441031.13299999997</v>
      </c>
      <c r="N247" s="23">
        <f>SUM(N248:N258)</f>
        <v>280660.63299999997</v>
      </c>
      <c r="O247" s="23">
        <f>SUM(O248:O258)</f>
        <v>262913.20000000001</v>
      </c>
      <c r="P247" s="23">
        <f>SUM(P248:P258)</f>
        <v>242443.50000000003</v>
      </c>
      <c r="Q247" s="131" t="s">
        <v>36</v>
      </c>
      <c r="R247" s="35"/>
      <c r="W247" s="32">
        <f t="shared" si="47"/>
        <v>236774.39000000013</v>
      </c>
    </row>
    <row r="248" s="26" customFormat="1" ht="35.25" customHeight="1">
      <c r="A248" s="28"/>
      <c r="B248" s="58" t="s">
        <v>97</v>
      </c>
      <c r="C248" s="13" t="s">
        <v>43</v>
      </c>
      <c r="D248" s="28"/>
      <c r="E248" s="28"/>
      <c r="F248" s="13" t="s">
        <v>23</v>
      </c>
      <c r="G248" s="23">
        <f>I248+K248+M248+O248</f>
        <v>129321.39999999999</v>
      </c>
      <c r="H248" s="23">
        <f>J248+L248+N248+P248</f>
        <v>115482.7</v>
      </c>
      <c r="I248" s="23">
        <f>I260+I272+I284+I291+I298+I305+I312++I319+I326+I333+I340</f>
        <v>90603.699999999997</v>
      </c>
      <c r="J248" s="23">
        <f>J260+J272+J284+J291+J298+J305+J312++J319+J326+J333+J340</f>
        <v>77665</v>
      </c>
      <c r="K248" s="23">
        <f>K260+K272+K284+K291+K298+K305+K312++K319+K326+K333+K340</f>
        <v>200</v>
      </c>
      <c r="L248" s="23">
        <f>L260+L272+L284+L291+L298+L305+L312++L319+L326+L333+L340</f>
        <v>0</v>
      </c>
      <c r="M248" s="23">
        <f>M260+M272+M284+M291+M298+M305+M312++M319+M326+M333+M340</f>
        <v>18264.5</v>
      </c>
      <c r="N248" s="23">
        <f>N260+N272+N284+N291+N298+N305+N312++N319+N326+N333+N340</f>
        <v>17564.5</v>
      </c>
      <c r="O248" s="23">
        <f t="shared" ref="O248:O250" si="53">O260+O272+O284+O291+O298+O305+O312+O319+O326+O333+O340</f>
        <v>20253.199999999997</v>
      </c>
      <c r="P248" s="23">
        <f t="shared" ref="P248:P250" si="54">P260+P272+P284+P291+P298+P305+P312++P319+P326+P333+P340</f>
        <v>20253.199999999997</v>
      </c>
      <c r="Q248" s="131"/>
      <c r="R248" s="35"/>
      <c r="W248" s="32">
        <f t="shared" si="47"/>
        <v>12938.699999999997</v>
      </c>
    </row>
    <row r="249" s="26" customFormat="1" ht="15.75" customHeight="1">
      <c r="A249" s="28"/>
      <c r="B249" s="58"/>
      <c r="C249" s="22" t="s">
        <v>98</v>
      </c>
      <c r="D249" s="28"/>
      <c r="E249" s="28"/>
      <c r="F249" s="13" t="s">
        <v>25</v>
      </c>
      <c r="G249" s="23">
        <f>I249+K249+M249+O249</f>
        <v>128655.36999999998</v>
      </c>
      <c r="H249" s="23">
        <f>J249+L249+N249+P249</f>
        <v>122789.84</v>
      </c>
      <c r="I249" s="23">
        <f>I261+I273+I341</f>
        <v>85805.569999999978</v>
      </c>
      <c r="J249" s="23">
        <f>J261+J273+J341</f>
        <v>80980.039999999994</v>
      </c>
      <c r="K249" s="23">
        <f>K261+K273+K285+K292+K299+K306+K313++K320+K327+K334+K341</f>
        <v>220</v>
      </c>
      <c r="L249" s="23">
        <f>L261+L273+L285+L292+L299+L306+L313++L320+L327+L334+L341</f>
        <v>0</v>
      </c>
      <c r="M249" s="23">
        <f>M261+M273+M285+M292+M299+M306+M313++M320+M327+M334+M341</f>
        <v>17618</v>
      </c>
      <c r="N249" s="23">
        <f>N261+N273+N285+N292+N299+N306+N313++N320+N327+N334+N341</f>
        <v>16798</v>
      </c>
      <c r="O249" s="23">
        <f t="shared" si="53"/>
        <v>25011.799999999999</v>
      </c>
      <c r="P249" s="23">
        <f t="shared" si="54"/>
        <v>25011.799999999999</v>
      </c>
      <c r="Q249" s="131"/>
      <c r="R249" s="35"/>
      <c r="W249" s="32">
        <f t="shared" si="47"/>
        <v>4825.5299999999843</v>
      </c>
    </row>
    <row r="250" s="26" customFormat="1" ht="15.6" customHeight="1">
      <c r="A250" s="28"/>
      <c r="B250" s="58"/>
      <c r="C250" s="28"/>
      <c r="D250" s="28"/>
      <c r="E250" s="28"/>
      <c r="F250" s="13" t="s">
        <v>26</v>
      </c>
      <c r="G250" s="23">
        <f>I250+K250+M250+O250</f>
        <v>151718.633</v>
      </c>
      <c r="H250" s="23">
        <f>J250+L250+N250+P250</f>
        <v>150033.633</v>
      </c>
      <c r="I250" s="23">
        <f>I262+I274+I286+I293+I300+I307+I314++I321+I328+I335+I342</f>
        <v>90037.800000000003</v>
      </c>
      <c r="J250" s="23">
        <f>J262+J274+J286+J293+J300+J307+J314++J321+J328+J335+J342</f>
        <v>88352.800000000003</v>
      </c>
      <c r="K250" s="23">
        <f>K262+K274+K286+K293+K300+K307+K314++K321+K328+K335+K342</f>
        <v>0</v>
      </c>
      <c r="L250" s="23">
        <f>L262+L274+L286+L293+L300+L307+L314++L321+L328+L335+L342</f>
        <v>0</v>
      </c>
      <c r="M250" s="23">
        <f>M262+M274+M286+M293+M300+M307+M314++M321+M328+M335+M342</f>
        <v>31832.332999999999</v>
      </c>
      <c r="N250" s="23">
        <f>N262+N274+N286+N293+N300+N307+N314++N321+N328+N335+N342</f>
        <v>31832.332999999999</v>
      </c>
      <c r="O250" s="23">
        <f t="shared" si="53"/>
        <v>29848.5</v>
      </c>
      <c r="P250" s="23">
        <f t="shared" si="54"/>
        <v>29848.5</v>
      </c>
      <c r="Q250" s="131"/>
      <c r="R250" s="35"/>
      <c r="S250" s="132" t="s">
        <v>97</v>
      </c>
      <c r="T250" s="133"/>
      <c r="W250" s="32">
        <f t="shared" si="47"/>
        <v>1685</v>
      </c>
      <c r="Z250" s="37"/>
    </row>
    <row r="251" s="26" customFormat="1">
      <c r="A251" s="28"/>
      <c r="B251" s="58"/>
      <c r="C251" s="28"/>
      <c r="D251" s="28"/>
      <c r="E251" s="28"/>
      <c r="F251" s="13" t="s">
        <v>27</v>
      </c>
      <c r="G251" s="23">
        <f>I251+K251+M251+O251</f>
        <v>174847.60000000001</v>
      </c>
      <c r="H251" s="23">
        <f>J251+L251+N251+P251</f>
        <v>168847.70000000001</v>
      </c>
      <c r="I251" s="23">
        <f>I263+I275+I287+I294+I301+I308+I315++I322+I329+I336+I343+I355+I367+I379+I391</f>
        <v>100329.60000000002</v>
      </c>
      <c r="J251" s="23">
        <f>J263+J275+J287+J294+J301+J308+J315++J322+J329+J336+J343+J355+J367+J379+J391</f>
        <v>94329.700000000012</v>
      </c>
      <c r="K251" s="23">
        <f>K263+K275+K287+K294+K301+K308+K315++K322+K329+K336+K343+K355+K367+K379+K391</f>
        <v>518.5</v>
      </c>
      <c r="L251" s="23">
        <f>L263+L275+L287+L294+L301+L308+L315++L322+L329+L336+L343+L355+L367+L379+L391</f>
        <v>518.5</v>
      </c>
      <c r="M251" s="23">
        <f>M263+M275+M287+M294+M301+M308+M315++M322+M329+M336+M343+M355+M367+M379+M391</f>
        <v>46076.599999999999</v>
      </c>
      <c r="N251" s="23">
        <f>N263+N275+N287+N294+N301+N308+N315++N322+N329+N336+N343+N355+N367+N379+N391</f>
        <v>46076.599999999999</v>
      </c>
      <c r="O251" s="23">
        <f>O263+O275+O287+O294+O301+O308+O315++O322+O329+O336+O343+O355+O367+O379+O391</f>
        <v>27922.900000000001</v>
      </c>
      <c r="P251" s="23">
        <f>P263+P275+P287+P294+P301+P308+P315++P322+P329+P336+P343+P355+P367+P379+P391</f>
        <v>27922.900000000001</v>
      </c>
      <c r="Q251" s="131"/>
      <c r="R251" s="35"/>
      <c r="S251" s="134"/>
      <c r="T251" s="135"/>
      <c r="W251" s="32">
        <f t="shared" si="47"/>
        <v>5999.9000000000087</v>
      </c>
    </row>
    <row r="252" s="26" customFormat="1" ht="15" customHeight="1">
      <c r="A252" s="28"/>
      <c r="B252" s="58"/>
      <c r="C252" s="28"/>
      <c r="D252" s="28"/>
      <c r="E252" s="28"/>
      <c r="F252" s="13" t="s">
        <v>28</v>
      </c>
      <c r="G252" s="23">
        <f>I252+K252+M252+O252</f>
        <v>180235.5</v>
      </c>
      <c r="H252" s="23">
        <f>J252+L252+N252+P252</f>
        <v>180235.5</v>
      </c>
      <c r="I252" s="23">
        <f>I264+I276+I288+I295+I302+I309+I316++I323+I330+I337+I344+I356+I368+I380+I392</f>
        <v>102003.2</v>
      </c>
      <c r="J252" s="23">
        <f>J264+J276+J288+J295+J302+J309+J316++J323+J330+J337+J344+J356+J368+J380+J392</f>
        <v>102003.2</v>
      </c>
      <c r="K252" s="23">
        <f>K264+K276+K288+K295+K302+K309+K316++K323+K330+K337+K344+K356+K368+K380+K392</f>
        <v>0</v>
      </c>
      <c r="L252" s="23">
        <f>L264+L276+L288+L295+L302+L309+L316++L323+L330+L337+L344+L356+L368+L380+L392</f>
        <v>0</v>
      </c>
      <c r="M252" s="23">
        <f>M264+M276+M288+M295+M302+M309+M316++M323+M330+M337+M344+M356+M368+M380+M392</f>
        <v>47222.699999999997</v>
      </c>
      <c r="N252" s="23">
        <f>N264+N276+N288+N295+N302+N309+N316++N323+N330+N337+N344+N356+N368+N380+N392</f>
        <v>47222.699999999997</v>
      </c>
      <c r="O252" s="23">
        <f>O264+O276+O288+O295+O302+O309+O316++O323+O330+O337+O344+O356+O368+O380+O392</f>
        <v>31009.600000000002</v>
      </c>
      <c r="P252" s="23">
        <f>P264+P276+P288+P295+P302+P309+P316++P323+P330+P337+P344+P356+P368+P380+P392</f>
        <v>31009.600000000002</v>
      </c>
      <c r="Q252" s="131"/>
      <c r="R252" s="75"/>
      <c r="S252" s="136"/>
      <c r="T252" s="137"/>
      <c r="W252" s="32">
        <f t="shared" si="47"/>
        <v>0</v>
      </c>
    </row>
    <row r="253" s="26" customFormat="1">
      <c r="A253" s="28"/>
      <c r="B253" s="58"/>
      <c r="C253" s="28"/>
      <c r="D253" s="28"/>
      <c r="E253" s="28"/>
      <c r="F253" s="13" t="s">
        <v>29</v>
      </c>
      <c r="G253" s="23">
        <f>I253+K253+M253+O253</f>
        <v>187644.75</v>
      </c>
      <c r="H253" s="23">
        <f>J253+L253+N253+P253</f>
        <v>155841.29000000001</v>
      </c>
      <c r="I253" s="23">
        <f>I265+I277+I289+I296+I303+I310+I317++I324+I331+I338+I345+I357+I369+I381+I393</f>
        <v>121123.75</v>
      </c>
      <c r="J253" s="23">
        <f>J265+J277+J289+J296+J303+J310+J317++J324+J331+J338+J345+J357+J369+J381+J393</f>
        <v>101315.19</v>
      </c>
      <c r="K253" s="23">
        <f>K265+K277+K289+K296+K303+K310+K317++K324+K331+K338+K345+K357+K369+K381+K393</f>
        <v>0</v>
      </c>
      <c r="L253" s="23">
        <f>L265+L277+L289+L296+L303+L310+L317++L324+L331+L338+L345+L357+L369+L381+L393</f>
        <v>0</v>
      </c>
      <c r="M253" s="23">
        <f>M265+M277+M289+M296+M303+M310+M317++M324+M331+M338+M345+M357+M369+M381+M393</f>
        <v>46669.5</v>
      </c>
      <c r="N253" s="23">
        <f>N265+N277+N289+N296+N303+N310+N317++N324+N331+N338+N345+N357+N369+N381+N393</f>
        <v>34674.599999999999</v>
      </c>
      <c r="O253" s="23">
        <f>O265+O277+O289+O296+O303+O310+O317++O324+O331+O338+O345+O357+O369+O381+O393</f>
        <v>19851.5</v>
      </c>
      <c r="P253" s="23">
        <f>P265+P277+P289+P296+P303+P310+P317++P324+P331+P338+P345+P357+P369+P381+P393</f>
        <v>19851.5</v>
      </c>
      <c r="Q253" s="131"/>
      <c r="R253" s="75"/>
      <c r="S253" s="138">
        <f t="shared" ref="S253:S258" si="55">H253/G253*100</f>
        <v>83.051239110073695</v>
      </c>
      <c r="T253" s="13" t="s">
        <v>29</v>
      </c>
      <c r="W253" s="32">
        <f t="shared" si="47"/>
        <v>19808.559999999998</v>
      </c>
      <c r="Y253" s="32"/>
      <c r="Z253" s="103"/>
      <c r="AA253" s="103"/>
    </row>
    <row r="254" s="26" customFormat="1">
      <c r="A254" s="28"/>
      <c r="B254" s="58"/>
      <c r="C254" s="28"/>
      <c r="D254" s="28"/>
      <c r="E254" s="28"/>
      <c r="F254" s="13" t="s">
        <v>30</v>
      </c>
      <c r="G254" s="23">
        <f>I254+K254+M254+O254</f>
        <v>210285</v>
      </c>
      <c r="H254" s="23">
        <f>J254+L254+N254+P254</f>
        <v>187323.70000000001</v>
      </c>
      <c r="I254" s="23">
        <f>I266+I278+I346+I358+I370+I382+I394</f>
        <v>137486.5</v>
      </c>
      <c r="J254" s="23">
        <f>J266+J278+J346+J358+J370+J382+J394</f>
        <v>122597.40000000001</v>
      </c>
      <c r="K254" s="23">
        <f>K266+K278+K346+K358+K370+K382+K394</f>
        <v>0</v>
      </c>
      <c r="L254" s="23">
        <f>L266+L278+L346+L358+L370+L382+L394</f>
        <v>0</v>
      </c>
      <c r="M254" s="23">
        <f>M266+M278+M346+M358+M370+M382+M394</f>
        <v>46669.5</v>
      </c>
      <c r="N254" s="23">
        <f>N266+N278+N346+N358+N370+N382+N394</f>
        <v>38597.300000000003</v>
      </c>
      <c r="O254" s="23">
        <f>O266+O278+O346+O358+O370+O382+O394</f>
        <v>26129</v>
      </c>
      <c r="P254" s="23">
        <f>P266+P278+P346+P358+P370+P382+P394</f>
        <v>26129</v>
      </c>
      <c r="Q254" s="131"/>
      <c r="R254" s="75"/>
      <c r="S254" s="138">
        <f t="shared" si="55"/>
        <v>89.080866443160474</v>
      </c>
      <c r="T254" s="13" t="s">
        <v>30</v>
      </c>
      <c r="W254" s="32">
        <f t="shared" ref="W254:W317" si="56">I254-J254</f>
        <v>14889.099999999991</v>
      </c>
      <c r="Z254" s="103"/>
      <c r="AA254" s="103"/>
    </row>
    <row r="255" s="26" customFormat="1">
      <c r="A255" s="28"/>
      <c r="B255" s="58"/>
      <c r="C255" s="28"/>
      <c r="D255" s="28"/>
      <c r="E255" s="28"/>
      <c r="F255" s="13" t="s">
        <v>31</v>
      </c>
      <c r="G255" s="23">
        <f>I255+K255+M255+O255</f>
        <v>215190.20000000004</v>
      </c>
      <c r="H255" s="23">
        <f>J255+L255+N255+P255</f>
        <v>206711.50000000003</v>
      </c>
      <c r="I255" s="23">
        <f>I267+I279+I347+I359+I371+I383+I395</f>
        <v>147043.10000000003</v>
      </c>
      <c r="J255" s="23">
        <f>J267+J279+J347+J359+J371+J383+J395</f>
        <v>141539.30000000002</v>
      </c>
      <c r="K255" s="23">
        <f>K267+K279+K347+K359+K371+K383+K395</f>
        <v>0</v>
      </c>
      <c r="L255" s="23">
        <f>L267+L279+L347+L359+L371+L383+L395</f>
        <v>0</v>
      </c>
      <c r="M255" s="23">
        <f>M267+M279+M347+M359+M371+M383+M395</f>
        <v>46669.5</v>
      </c>
      <c r="N255" s="23">
        <f>N267+N279+N347+N359+N371+N383+N395</f>
        <v>43694.599999999999</v>
      </c>
      <c r="O255" s="23">
        <f>O267+O279+O347+O359+O371+O383+O395</f>
        <v>21477.599999999999</v>
      </c>
      <c r="P255" s="23">
        <f>P267+P279+P347+P359+P371+P383+P395</f>
        <v>21477.599999999999</v>
      </c>
      <c r="Q255" s="131"/>
      <c r="R255" s="75"/>
      <c r="S255" s="138">
        <f t="shared" si="55"/>
        <v>96.059904214968896</v>
      </c>
      <c r="T255" s="13" t="s">
        <v>31</v>
      </c>
      <c r="W255" s="32">
        <f t="shared" si="56"/>
        <v>5503.8000000000175</v>
      </c>
      <c r="Z255" s="103"/>
      <c r="AA255" s="103"/>
    </row>
    <row r="256" s="26" customFormat="1">
      <c r="A256" s="28"/>
      <c r="B256" s="58"/>
      <c r="C256" s="28"/>
      <c r="D256" s="28"/>
      <c r="E256" s="28"/>
      <c r="F256" s="13" t="s">
        <v>32</v>
      </c>
      <c r="G256" s="23">
        <f>I256+K256+M256+O256</f>
        <v>234631.70000000001</v>
      </c>
      <c r="H256" s="23">
        <f>J256+L256+N256+P256</f>
        <v>138800.39999999999</v>
      </c>
      <c r="I256" s="23">
        <f>I268+I280+I348+I360+I372+I384+I396</f>
        <v>167492.5</v>
      </c>
      <c r="J256" s="23">
        <f>J268+J280+J348+J360+J372+J384+J396</f>
        <v>116230.7</v>
      </c>
      <c r="K256" s="23">
        <f>K268+K280+K348+K360+K372+K384+K396</f>
        <v>0</v>
      </c>
      <c r="L256" s="23">
        <f>L268+L280+L348+L360+L372+L384+L396</f>
        <v>0</v>
      </c>
      <c r="M256" s="23">
        <f>M268+M280+M348+M360+M372+M384+M396</f>
        <v>46669.5</v>
      </c>
      <c r="N256" s="23">
        <f>N268+N280+N348+N360+N372+N384+N396</f>
        <v>2100</v>
      </c>
      <c r="O256" s="23">
        <f>O268+O280+O348+O360+O372+O384+O396</f>
        <v>20469.700000000001</v>
      </c>
      <c r="P256" s="23">
        <f>P268+P280+P348+P360+P372+P384+P396</f>
        <v>20469.700000000001</v>
      </c>
      <c r="Q256" s="131"/>
      <c r="R256" s="35"/>
      <c r="S256" s="138">
        <f t="shared" si="55"/>
        <v>59.156712413540028</v>
      </c>
      <c r="T256" s="13" t="s">
        <v>32</v>
      </c>
      <c r="W256" s="32">
        <f t="shared" si="56"/>
        <v>51261.800000000003</v>
      </c>
      <c r="Z256" s="103"/>
      <c r="AA256" s="103"/>
    </row>
    <row r="257" s="26" customFormat="1">
      <c r="A257" s="28"/>
      <c r="B257" s="58"/>
      <c r="C257" s="28"/>
      <c r="D257" s="28"/>
      <c r="E257" s="28"/>
      <c r="F257" s="13" t="s">
        <v>33</v>
      </c>
      <c r="G257" s="23">
        <f>I257+K257+M257+O257</f>
        <v>234631.70000000001</v>
      </c>
      <c r="H257" s="23">
        <f>J257+L257+N257+P257</f>
        <v>138800.39999999999</v>
      </c>
      <c r="I257" s="23">
        <f>I269+I281+I349+I361+I373+I385+I397</f>
        <v>167492.5</v>
      </c>
      <c r="J257" s="23">
        <f>J269+J281+J349+J361+J373+J385+J397</f>
        <v>116230.7</v>
      </c>
      <c r="K257" s="23">
        <f>K269+K281+K349+K361+K373+K385+K397</f>
        <v>0</v>
      </c>
      <c r="L257" s="23">
        <f>L269+L281+L349+L361+L373+L385+L397</f>
        <v>0</v>
      </c>
      <c r="M257" s="23">
        <f>M269+M281+M349+M361+M373+M385+M397</f>
        <v>46669.5</v>
      </c>
      <c r="N257" s="23">
        <f>N269+N281+N349+N361+N373+N385+N397</f>
        <v>2100</v>
      </c>
      <c r="O257" s="23">
        <f>O269+O281+O349+O361+O373+O385+O397</f>
        <v>20469.700000000001</v>
      </c>
      <c r="P257" s="23">
        <f>P269+P281+P349+P361+P373+P385+P397</f>
        <v>20469.700000000001</v>
      </c>
      <c r="Q257" s="131"/>
      <c r="R257" s="35"/>
      <c r="S257" s="138">
        <f t="shared" si="55"/>
        <v>59.156712413540028</v>
      </c>
      <c r="T257" s="13" t="s">
        <v>33</v>
      </c>
      <c r="W257" s="32">
        <f t="shared" si="56"/>
        <v>51261.800000000003</v>
      </c>
      <c r="Z257" s="103"/>
      <c r="AA257" s="103"/>
    </row>
    <row r="258" s="26" customFormat="1">
      <c r="A258" s="28"/>
      <c r="B258" s="58"/>
      <c r="C258" s="49"/>
      <c r="D258" s="49"/>
      <c r="E258" s="49"/>
      <c r="F258" s="13" t="s">
        <v>34</v>
      </c>
      <c r="G258" s="23">
        <f>I258+K258+M258+O258</f>
        <v>234631.70000000001</v>
      </c>
      <c r="H258" s="23">
        <f>J258+L258+N258+P258</f>
        <v>98892.300000000003</v>
      </c>
      <c r="I258" s="23">
        <f>I270+I282+I350+I362+I374+I386+I398</f>
        <v>167492.5</v>
      </c>
      <c r="J258" s="23">
        <f>J270+J282+J350+J362+J374+J386+J398</f>
        <v>98892.300000000003</v>
      </c>
      <c r="K258" s="23">
        <f>K270+K282+K350+K362+K374+K386+K398</f>
        <v>0</v>
      </c>
      <c r="L258" s="23">
        <f>L270+L282+L350+L362+L374+L386+L398</f>
        <v>0</v>
      </c>
      <c r="M258" s="23">
        <f>M270+M282+M350+M362+M374+M386+M398</f>
        <v>46669.5</v>
      </c>
      <c r="N258" s="23">
        <f>N270+N282+N350+N362+N374+N386+N398</f>
        <v>0</v>
      </c>
      <c r="O258" s="23">
        <f>O270+O282+O350+O362+O374+O386+O398</f>
        <v>20469.700000000001</v>
      </c>
      <c r="P258" s="23">
        <f>P270+P282+P350+P362+P374+P386+P398</f>
        <v>0</v>
      </c>
      <c r="Q258" s="131"/>
      <c r="R258" s="35"/>
      <c r="S258" s="138">
        <f t="shared" si="55"/>
        <v>42.147885388035803</v>
      </c>
      <c r="T258" s="13" t="s">
        <v>34</v>
      </c>
      <c r="W258" s="32">
        <f t="shared" si="56"/>
        <v>68600.199999999997</v>
      </c>
      <c r="Z258" s="103"/>
      <c r="AA258" s="103"/>
    </row>
    <row r="259" s="26" customFormat="1" ht="15.75" customHeight="1">
      <c r="A259" s="28"/>
      <c r="B259" s="107" t="s">
        <v>99</v>
      </c>
      <c r="C259" s="105"/>
      <c r="D259" s="12" t="s">
        <v>47</v>
      </c>
      <c r="E259" s="12" t="s">
        <v>93</v>
      </c>
      <c r="F259" s="11" t="s">
        <v>21</v>
      </c>
      <c r="G259" s="62">
        <f>SUM(G260:G270)</f>
        <v>1965384.5029999998</v>
      </c>
      <c r="H259" s="62">
        <f>SUM(H260:H270)</f>
        <v>1580850.4129999999</v>
      </c>
      <c r="I259" s="62">
        <f>SUM(I260:I270)</f>
        <v>1261807.47</v>
      </c>
      <c r="J259" s="62">
        <f>SUM(J260:J270)</f>
        <v>1057633.5799999998</v>
      </c>
      <c r="K259" s="62">
        <f>SUM(K260:K270)</f>
        <v>738.5</v>
      </c>
      <c r="L259" s="62">
        <f>SUM(L260:L270)</f>
        <v>518.5</v>
      </c>
      <c r="M259" s="62">
        <f>SUM(M260:M270)</f>
        <v>440331.13299999997</v>
      </c>
      <c r="N259" s="62">
        <f>SUM(N260:N270)</f>
        <v>280660.63299999997</v>
      </c>
      <c r="O259" s="62">
        <f>SUM(O260:O270)</f>
        <v>262507.40000000002</v>
      </c>
      <c r="P259" s="62">
        <f>SUM(P260:P270)</f>
        <v>242037.70000000004</v>
      </c>
      <c r="Q259" s="131"/>
      <c r="R259" s="35"/>
      <c r="W259" s="32">
        <f t="shared" si="56"/>
        <v>204173.89000000013</v>
      </c>
      <c r="AA259" s="103"/>
    </row>
    <row r="260" s="8" customFormat="1" ht="54.75" customHeight="1">
      <c r="A260" s="28"/>
      <c r="B260" s="107"/>
      <c r="C260" s="11" t="s">
        <v>65</v>
      </c>
      <c r="D260" s="14"/>
      <c r="E260" s="14"/>
      <c r="F260" s="11" t="s">
        <v>23</v>
      </c>
      <c r="G260" s="62">
        <f>I260+K260+M260+O260</f>
        <v>114532.09999999998</v>
      </c>
      <c r="H260" s="62">
        <f>J260+L260+N260+P260</f>
        <v>111157.5</v>
      </c>
      <c r="I260" s="62">
        <f>8503.5+J260-559.8-4514.1-10-45</f>
        <v>77092.999999999985</v>
      </c>
      <c r="J260" s="62">
        <v>73718.399999999994</v>
      </c>
      <c r="K260" s="62">
        <v>0</v>
      </c>
      <c r="L260" s="62">
        <v>0</v>
      </c>
      <c r="M260" s="62">
        <f>N260</f>
        <v>17564.5</v>
      </c>
      <c r="N260" s="62">
        <v>17564.5</v>
      </c>
      <c r="O260" s="62">
        <v>19874.599999999999</v>
      </c>
      <c r="P260" s="62">
        <f t="shared" ref="P260:P265" si="57">O260</f>
        <v>19874.599999999999</v>
      </c>
      <c r="Q260" s="131"/>
      <c r="R260" s="108"/>
      <c r="W260" s="32">
        <f t="shared" si="56"/>
        <v>3374.5999999999913</v>
      </c>
    </row>
    <row r="261" ht="55.5" customHeight="1">
      <c r="A261" s="28"/>
      <c r="B261" s="107"/>
      <c r="C261" s="11" t="s">
        <v>66</v>
      </c>
      <c r="D261" s="14"/>
      <c r="E261" s="14"/>
      <c r="F261" s="11" t="s">
        <v>25</v>
      </c>
      <c r="G261" s="62">
        <f>I261+K261+M261+O261</f>
        <v>126132.86999999998</v>
      </c>
      <c r="H261" s="62">
        <f>J261+L261+N261+P261</f>
        <v>121423.63999999998</v>
      </c>
      <c r="I261" s="62">
        <f>J261+260.23+775+150+608+276+300+1300</f>
        <v>83283.069999999978</v>
      </c>
      <c r="J261" s="62">
        <f>79427.7-J313-J320-J327-J334-1165.7-J341+649.4-0.3+991.5+700+70-744.66</f>
        <v>79613.839999999982</v>
      </c>
      <c r="K261" s="62">
        <v>220</v>
      </c>
      <c r="L261" s="62">
        <v>0</v>
      </c>
      <c r="M261" s="62">
        <f>N261+360+460</f>
        <v>17618</v>
      </c>
      <c r="N261" s="62">
        <f>24612.900000000001+72-7886.8999999999996</f>
        <v>16798</v>
      </c>
      <c r="O261" s="62">
        <f>25011.8-O285-O292-O313-O320-O327-O334</f>
        <v>25011.799999999999</v>
      </c>
      <c r="P261" s="62">
        <f t="shared" si="57"/>
        <v>25011.799999999999</v>
      </c>
      <c r="Q261" s="131"/>
      <c r="R261" s="35"/>
      <c r="W261" s="32">
        <f t="shared" si="56"/>
        <v>3669.2299999999959</v>
      </c>
    </row>
    <row r="262" ht="15" customHeight="1">
      <c r="A262" s="28"/>
      <c r="B262" s="107"/>
      <c r="C262" s="12" t="s">
        <v>100</v>
      </c>
      <c r="D262" s="14"/>
      <c r="E262" s="14"/>
      <c r="F262" s="11" t="s">
        <v>26</v>
      </c>
      <c r="G262" s="62">
        <f>I262+K262+M262+O262</f>
        <v>150271.633</v>
      </c>
      <c r="H262" s="62">
        <f>J262+L262+N262+P262</f>
        <v>148586.633</v>
      </c>
      <c r="I262" s="62">
        <f>J262+1685</f>
        <v>88590.800000000003</v>
      </c>
      <c r="J262" s="62">
        <f>86449.7-J274-J342+1499.5+20+80+303.6</f>
        <v>86905.800000000003</v>
      </c>
      <c r="K262" s="62">
        <v>0</v>
      </c>
      <c r="L262" s="62">
        <v>0</v>
      </c>
      <c r="M262" s="62">
        <f>N262</f>
        <v>31832.332999999999</v>
      </c>
      <c r="N262" s="62">
        <f>32007.832999999999-175.5</f>
        <v>31832.332999999999</v>
      </c>
      <c r="O262" s="62">
        <f>29848.5-O286-O293-O314-O321-O328-O335</f>
        <v>29848.5</v>
      </c>
      <c r="P262" s="62">
        <f t="shared" si="57"/>
        <v>29848.5</v>
      </c>
      <c r="Q262" s="131"/>
      <c r="R262" s="35"/>
      <c r="W262" s="32">
        <f t="shared" si="56"/>
        <v>1685</v>
      </c>
    </row>
    <row r="263" ht="15.75">
      <c r="A263" s="28"/>
      <c r="B263" s="107"/>
      <c r="C263" s="14"/>
      <c r="D263" s="14"/>
      <c r="E263" s="14"/>
      <c r="F263" s="11" t="s">
        <v>27</v>
      </c>
      <c r="G263" s="62">
        <f>I263+K263+M263+O263</f>
        <v>163108.79999999999</v>
      </c>
      <c r="H263" s="62">
        <f>J263+L263+N263+P263</f>
        <v>157423</v>
      </c>
      <c r="I263" s="62">
        <f>I262</f>
        <v>88590.800000000003</v>
      </c>
      <c r="J263" s="62">
        <v>82905</v>
      </c>
      <c r="K263" s="62">
        <f>L263</f>
        <v>518.5</v>
      </c>
      <c r="L263" s="62">
        <v>518.5</v>
      </c>
      <c r="M263" s="62">
        <v>46076.599999999999</v>
      </c>
      <c r="N263" s="62">
        <f>M263</f>
        <v>46076.599999999999</v>
      </c>
      <c r="O263" s="62">
        <v>27922.900000000001</v>
      </c>
      <c r="P263" s="62">
        <f t="shared" si="57"/>
        <v>27922.900000000001</v>
      </c>
      <c r="Q263" s="131"/>
      <c r="R263" s="35"/>
      <c r="W263" s="32">
        <f t="shared" si="56"/>
        <v>5685.8000000000029</v>
      </c>
    </row>
    <row r="264" ht="21.600000000000001" customHeight="1">
      <c r="A264" s="28"/>
      <c r="B264" s="107"/>
      <c r="C264" s="14"/>
      <c r="D264" s="14"/>
      <c r="E264" s="14"/>
      <c r="F264" s="11" t="s">
        <v>28</v>
      </c>
      <c r="G264" s="62">
        <f>I264+K264+M264+O264</f>
        <v>167188</v>
      </c>
      <c r="H264" s="62">
        <f>J264+L264+N264+P264</f>
        <v>167188</v>
      </c>
      <c r="I264" s="62">
        <f>J264</f>
        <v>88971.099999999991</v>
      </c>
      <c r="J264" s="62">
        <f>87860.600000000006+1001.9+108.7-0.10000000000000001</f>
        <v>88971.099999999991</v>
      </c>
      <c r="K264" s="62">
        <v>0</v>
      </c>
      <c r="L264" s="62">
        <v>0</v>
      </c>
      <c r="M264" s="62">
        <v>47222.699999999997</v>
      </c>
      <c r="N264" s="62">
        <v>47222.699999999997</v>
      </c>
      <c r="O264" s="62">
        <f>9700.5+17309.4+268.8+3730.9-O344</f>
        <v>30994.200000000001</v>
      </c>
      <c r="P264" s="62">
        <f t="shared" si="57"/>
        <v>30994.200000000001</v>
      </c>
      <c r="Q264" s="131"/>
      <c r="R264" s="35"/>
      <c r="W264" s="32">
        <f t="shared" si="56"/>
        <v>0</v>
      </c>
    </row>
    <row r="265" ht="15.75">
      <c r="A265" s="28"/>
      <c r="B265" s="107"/>
      <c r="C265" s="14"/>
      <c r="D265" s="14"/>
      <c r="E265" s="14"/>
      <c r="F265" s="11" t="s">
        <v>29</v>
      </c>
      <c r="G265" s="62">
        <f>I265+K265+M265+O265</f>
        <v>176717.60000000001</v>
      </c>
      <c r="H265" s="62">
        <f>J265+L265+N265+P265</f>
        <v>145277.84</v>
      </c>
      <c r="I265" s="62">
        <f>110196.60000000001</f>
        <v>110196.60000000001</v>
      </c>
      <c r="J265" s="62">
        <v>90751.740000000005</v>
      </c>
      <c r="K265" s="62">
        <v>0</v>
      </c>
      <c r="L265" s="62">
        <v>0</v>
      </c>
      <c r="M265" s="62">
        <v>46669.5</v>
      </c>
      <c r="N265" s="62">
        <v>34674.599999999999</v>
      </c>
      <c r="O265" s="62">
        <v>19851.5</v>
      </c>
      <c r="P265" s="62">
        <f t="shared" si="57"/>
        <v>19851.5</v>
      </c>
      <c r="Q265" s="131"/>
      <c r="R265" s="75"/>
      <c r="W265" s="32">
        <f t="shared" si="56"/>
        <v>19444.860000000001</v>
      </c>
      <c r="Y265" s="74"/>
    </row>
    <row r="266" ht="15.75">
      <c r="A266" s="28"/>
      <c r="B266" s="107"/>
      <c r="C266" s="14"/>
      <c r="D266" s="14"/>
      <c r="E266" s="14"/>
      <c r="F266" s="11" t="s">
        <v>30</v>
      </c>
      <c r="G266" s="62">
        <f>I266+K266+M266+O266</f>
        <v>197983.30000000002</v>
      </c>
      <c r="H266" s="62">
        <f>J266+L266+N266+P266</f>
        <v>175497.70000000001</v>
      </c>
      <c r="I266" s="62">
        <f>I265+5000+10000</f>
        <v>125196.60000000001</v>
      </c>
      <c r="J266" s="62">
        <v>110783.2</v>
      </c>
      <c r="K266" s="62">
        <v>0</v>
      </c>
      <c r="L266" s="62">
        <v>0</v>
      </c>
      <c r="M266" s="62">
        <f t="shared" ref="M266:M270" si="58">M265</f>
        <v>46669.5</v>
      </c>
      <c r="N266" s="62">
        <v>38597.300000000003</v>
      </c>
      <c r="O266" s="62">
        <f t="shared" ref="O266:O268" si="59">P266</f>
        <v>26117.200000000001</v>
      </c>
      <c r="P266" s="62">
        <f>26129-P346</f>
        <v>26117.200000000001</v>
      </c>
      <c r="Q266" s="131"/>
      <c r="R266" s="75"/>
      <c r="U266" s="74"/>
      <c r="W266" s="32">
        <f t="shared" si="56"/>
        <v>14413.400000000009</v>
      </c>
    </row>
    <row r="267" s="76" customFormat="1">
      <c r="A267" s="28"/>
      <c r="B267" s="107"/>
      <c r="C267" s="14"/>
      <c r="D267" s="14"/>
      <c r="E267" s="14"/>
      <c r="F267" s="77" t="s">
        <v>31</v>
      </c>
      <c r="G267" s="78">
        <f>I267+K267+M267+O267</f>
        <v>202802.20000000001</v>
      </c>
      <c r="H267" s="78">
        <f>J267+L267+N267+P267</f>
        <v>195823.5</v>
      </c>
      <c r="I267" s="78">
        <f>31300+103355.10000000001</f>
        <v>134655.10000000001</v>
      </c>
      <c r="J267" s="78">
        <v>130651.3</v>
      </c>
      <c r="K267" s="78">
        <v>0</v>
      </c>
      <c r="L267" s="78">
        <v>0</v>
      </c>
      <c r="M267" s="78">
        <f t="shared" si="58"/>
        <v>46669.5</v>
      </c>
      <c r="N267" s="78">
        <v>43694.599999999999</v>
      </c>
      <c r="O267" s="78">
        <f t="shared" si="59"/>
        <v>21477.599999999999</v>
      </c>
      <c r="P267" s="78">
        <f>21477.599999999999</f>
        <v>21477.599999999999</v>
      </c>
      <c r="Q267" s="131"/>
      <c r="R267" s="68"/>
      <c r="W267" s="70">
        <f t="shared" si="56"/>
        <v>4003.8000000000029</v>
      </c>
      <c r="X267" s="80">
        <f>I267-J267</f>
        <v>4003.8000000000029</v>
      </c>
    </row>
    <row r="268" ht="21" customHeight="1">
      <c r="A268" s="28"/>
      <c r="B268" s="107"/>
      <c r="C268" s="14"/>
      <c r="D268" s="14"/>
      <c r="E268" s="14"/>
      <c r="F268" s="11" t="s">
        <v>32</v>
      </c>
      <c r="G268" s="62">
        <f>I268+K268+M268+O268</f>
        <v>222216</v>
      </c>
      <c r="H268" s="62">
        <f>J268+L268+N268+P268</f>
        <v>130372.89999999999</v>
      </c>
      <c r="I268" s="62">
        <f>155076.79999999999</f>
        <v>155076.79999999999</v>
      </c>
      <c r="J268" s="62">
        <v>107803.2</v>
      </c>
      <c r="K268" s="62">
        <v>0</v>
      </c>
      <c r="L268" s="62">
        <v>0</v>
      </c>
      <c r="M268" s="62">
        <f t="shared" si="58"/>
        <v>46669.5</v>
      </c>
      <c r="N268" s="62">
        <f t="shared" ref="N268:N269" si="60">2161-61</f>
        <v>2100</v>
      </c>
      <c r="O268" s="62">
        <f t="shared" si="59"/>
        <v>20469.700000000001</v>
      </c>
      <c r="P268" s="62">
        <v>20469.700000000001</v>
      </c>
      <c r="Q268" s="131"/>
      <c r="R268" s="35"/>
      <c r="S268" s="74">
        <f>I268-J268</f>
        <v>47273.599999999991</v>
      </c>
      <c r="T268" s="74">
        <f>J268+47273.6</f>
        <v>155076.79999999999</v>
      </c>
      <c r="W268" s="32">
        <f t="shared" si="56"/>
        <v>47273.599999999991</v>
      </c>
      <c r="X268" s="1"/>
    </row>
    <row r="269" ht="15.75">
      <c r="A269" s="28"/>
      <c r="B269" s="107"/>
      <c r="C269" s="14"/>
      <c r="D269" s="14"/>
      <c r="E269" s="14"/>
      <c r="F269" s="11" t="s">
        <v>33</v>
      </c>
      <c r="G269" s="62">
        <f>I269+K269+M269+O269</f>
        <v>222216</v>
      </c>
      <c r="H269" s="62">
        <f>J269+L269+N269+P269</f>
        <v>130372.89999999999</v>
      </c>
      <c r="I269" s="62">
        <f t="shared" ref="I269:I270" si="61">I268</f>
        <v>155076.79999999999</v>
      </c>
      <c r="J269" s="62">
        <v>107803.2</v>
      </c>
      <c r="K269" s="62">
        <v>0</v>
      </c>
      <c r="L269" s="62">
        <v>0</v>
      </c>
      <c r="M269" s="62">
        <f t="shared" si="58"/>
        <v>46669.5</v>
      </c>
      <c r="N269" s="62">
        <f t="shared" si="60"/>
        <v>2100</v>
      </c>
      <c r="O269" s="62">
        <f t="shared" ref="O269:O270" si="62">O268</f>
        <v>20469.700000000001</v>
      </c>
      <c r="P269" s="62">
        <v>20469.700000000001</v>
      </c>
      <c r="Q269" s="131"/>
      <c r="R269" s="35"/>
      <c r="S269" s="1"/>
      <c r="T269" s="1"/>
      <c r="W269" s="32">
        <f t="shared" si="56"/>
        <v>47273.599999999991</v>
      </c>
    </row>
    <row r="270" ht="15.75">
      <c r="A270" s="28"/>
      <c r="B270" s="110"/>
      <c r="C270" s="16"/>
      <c r="D270" s="16"/>
      <c r="E270" s="16"/>
      <c r="F270" s="11" t="s">
        <v>34</v>
      </c>
      <c r="G270" s="62">
        <f>I270+K270+M270+O270</f>
        <v>222216</v>
      </c>
      <c r="H270" s="62">
        <f>J270+L270+N270+P270</f>
        <v>97726.800000000003</v>
      </c>
      <c r="I270" s="62">
        <f t="shared" si="61"/>
        <v>155076.79999999999</v>
      </c>
      <c r="J270" s="62">
        <f>91111.300000000003+5000+11000+15.5-9400</f>
        <v>97726.800000000003</v>
      </c>
      <c r="K270" s="62">
        <v>0</v>
      </c>
      <c r="L270" s="62">
        <v>0</v>
      </c>
      <c r="M270" s="62">
        <f t="shared" si="58"/>
        <v>46669.5</v>
      </c>
      <c r="N270" s="62">
        <v>0</v>
      </c>
      <c r="O270" s="62">
        <f t="shared" si="62"/>
        <v>20469.700000000001</v>
      </c>
      <c r="P270" s="62">
        <v>0</v>
      </c>
      <c r="Q270" s="131"/>
      <c r="R270" s="35"/>
      <c r="W270" s="32">
        <f t="shared" si="56"/>
        <v>57349.999999999985</v>
      </c>
    </row>
    <row r="271" s="26" customFormat="1" ht="15.75" customHeight="1">
      <c r="A271" s="28"/>
      <c r="B271" s="72" t="s">
        <v>101</v>
      </c>
      <c r="C271" s="5"/>
      <c r="D271" s="5"/>
      <c r="E271" s="11"/>
      <c r="F271" s="11" t="s">
        <v>21</v>
      </c>
      <c r="G271" s="62">
        <f>SUM(G272:G282)</f>
        <v>15639.9</v>
      </c>
      <c r="H271" s="62">
        <f>SUM(H272:H282)</f>
        <v>11199.9</v>
      </c>
      <c r="I271" s="62">
        <f>SUM(I272:I282)</f>
        <v>15639.9</v>
      </c>
      <c r="J271" s="62">
        <f>SUM(J272:J282)</f>
        <v>11199.9</v>
      </c>
      <c r="K271" s="62">
        <f>SUM(K272:K282)</f>
        <v>0</v>
      </c>
      <c r="L271" s="62">
        <f>SUM(L272:L282)</f>
        <v>0</v>
      </c>
      <c r="M271" s="62">
        <f>SUM(M272:M282)</f>
        <v>0</v>
      </c>
      <c r="N271" s="62">
        <f>SUM(N272:N282)</f>
        <v>0</v>
      </c>
      <c r="O271" s="62">
        <f>SUM(O272:O282)</f>
        <v>0</v>
      </c>
      <c r="P271" s="62">
        <f>SUM(P272:P282)</f>
        <v>0</v>
      </c>
      <c r="Q271" s="131"/>
      <c r="R271" s="35"/>
      <c r="W271" s="32">
        <f t="shared" si="56"/>
        <v>4440</v>
      </c>
    </row>
    <row r="272" s="8" customFormat="1" ht="30" customHeight="1">
      <c r="A272" s="28"/>
      <c r="B272" s="72"/>
      <c r="C272" s="96" t="s">
        <v>102</v>
      </c>
      <c r="D272" s="12" t="s">
        <v>55</v>
      </c>
      <c r="E272" s="11" t="s">
        <v>93</v>
      </c>
      <c r="F272" s="11" t="s">
        <v>23</v>
      </c>
      <c r="G272" s="62">
        <f>I272+K272+M272+O272</f>
        <v>1526.5999999999999</v>
      </c>
      <c r="H272" s="62">
        <f>J272+L272+N272+P272</f>
        <v>926.60000000000002</v>
      </c>
      <c r="I272" s="62">
        <f>600+J272</f>
        <v>1526.5999999999999</v>
      </c>
      <c r="J272" s="62">
        <v>926.60000000000002</v>
      </c>
      <c r="K272" s="62">
        <v>0</v>
      </c>
      <c r="L272" s="62">
        <v>0</v>
      </c>
      <c r="M272" s="62">
        <v>0</v>
      </c>
      <c r="N272" s="62">
        <v>0</v>
      </c>
      <c r="O272" s="62">
        <f t="shared" ref="O272:O273" si="63">P272</f>
        <v>0</v>
      </c>
      <c r="P272" s="62">
        <v>0</v>
      </c>
      <c r="Q272" s="131"/>
      <c r="R272" s="108"/>
      <c r="W272" s="32">
        <f t="shared" si="56"/>
        <v>599.99999999999989</v>
      </c>
    </row>
    <row r="273" ht="25.5" customHeight="1">
      <c r="A273" s="28"/>
      <c r="B273" s="72"/>
      <c r="C273" s="12" t="s">
        <v>103</v>
      </c>
      <c r="D273" s="14"/>
      <c r="E273" s="11"/>
      <c r="F273" s="11" t="s">
        <v>25</v>
      </c>
      <c r="G273" s="62">
        <f>I273+K273+M273+O273</f>
        <v>1052.0999999999999</v>
      </c>
      <c r="H273" s="62">
        <f>J273+L273+N273+P273</f>
        <v>1052.0999999999999</v>
      </c>
      <c r="I273" s="62">
        <f t="shared" ref="I273:I275" si="64">J273</f>
        <v>1052.0999999999999</v>
      </c>
      <c r="J273" s="62">
        <f>52.100000000000001+1160.5-46.899999999999999-113.59999999999999</f>
        <v>1052.0999999999999</v>
      </c>
      <c r="K273" s="62">
        <v>0</v>
      </c>
      <c r="L273" s="62">
        <v>0</v>
      </c>
      <c r="M273" s="62">
        <v>0</v>
      </c>
      <c r="N273" s="62">
        <v>0</v>
      </c>
      <c r="O273" s="62">
        <f t="shared" si="63"/>
        <v>0</v>
      </c>
      <c r="P273" s="62">
        <v>0</v>
      </c>
      <c r="Q273" s="131"/>
      <c r="R273" s="35"/>
      <c r="W273" s="32">
        <f t="shared" si="56"/>
        <v>0</v>
      </c>
    </row>
    <row r="274" ht="15.6" customHeight="1">
      <c r="A274" s="28"/>
      <c r="B274" s="72"/>
      <c r="C274" s="14"/>
      <c r="D274" s="14"/>
      <c r="E274" s="11"/>
      <c r="F274" s="11" t="s">
        <v>26</v>
      </c>
      <c r="G274" s="62">
        <f>I274+K274+M274+O274</f>
        <v>1132.9000000000001</v>
      </c>
      <c r="H274" s="62">
        <f>J274+L274+N274+P274</f>
        <v>1132.9000000000001</v>
      </c>
      <c r="I274" s="62">
        <f t="shared" si="64"/>
        <v>1132.9000000000001</v>
      </c>
      <c r="J274" s="62">
        <f>1165.5-32.600000000000001</f>
        <v>1132.9000000000001</v>
      </c>
      <c r="K274" s="62">
        <v>0</v>
      </c>
      <c r="L274" s="62">
        <v>0</v>
      </c>
      <c r="M274" s="62">
        <v>0</v>
      </c>
      <c r="N274" s="62">
        <v>0</v>
      </c>
      <c r="O274" s="62">
        <f t="shared" ref="O274:O277" si="65">1.1*O273</f>
        <v>0</v>
      </c>
      <c r="P274" s="62">
        <v>0</v>
      </c>
      <c r="Q274" s="131"/>
      <c r="R274" s="35"/>
      <c r="W274" s="32">
        <f t="shared" si="56"/>
        <v>0</v>
      </c>
      <c r="Z274" s="74"/>
    </row>
    <row r="275" ht="15.75">
      <c r="A275" s="28"/>
      <c r="B275" s="72"/>
      <c r="C275" s="14"/>
      <c r="D275" s="14"/>
      <c r="E275" s="11"/>
      <c r="F275" s="11" t="s">
        <v>27</v>
      </c>
      <c r="G275" s="62">
        <f>I275+K275+M275+O275</f>
        <v>997.29999999999995</v>
      </c>
      <c r="H275" s="62">
        <f>J275+L275+N275+P275</f>
        <v>997.29999999999995</v>
      </c>
      <c r="I275" s="62">
        <f t="shared" si="64"/>
        <v>997.29999999999995</v>
      </c>
      <c r="J275" s="62">
        <v>997.29999999999995</v>
      </c>
      <c r="K275" s="62">
        <v>0</v>
      </c>
      <c r="L275" s="62">
        <v>0</v>
      </c>
      <c r="M275" s="62">
        <v>0</v>
      </c>
      <c r="N275" s="62">
        <v>0</v>
      </c>
      <c r="O275" s="62">
        <f t="shared" si="65"/>
        <v>0</v>
      </c>
      <c r="P275" s="62">
        <v>0</v>
      </c>
      <c r="Q275" s="131"/>
      <c r="R275" s="35"/>
      <c r="W275" s="32">
        <f t="shared" si="56"/>
        <v>0</v>
      </c>
    </row>
    <row r="276" ht="15.75">
      <c r="A276" s="28"/>
      <c r="B276" s="72"/>
      <c r="C276" s="14"/>
      <c r="D276" s="14"/>
      <c r="E276" s="11"/>
      <c r="F276" s="11" t="s">
        <v>28</v>
      </c>
      <c r="G276" s="62">
        <f>I276+K276+M276+O276</f>
        <v>1284.4000000000001</v>
      </c>
      <c r="H276" s="62">
        <f>J276+L276+N276+P276</f>
        <v>1284.4000000000001</v>
      </c>
      <c r="I276" s="62">
        <v>1284.4000000000001</v>
      </c>
      <c r="J276" s="62">
        <f>I276</f>
        <v>1284.4000000000001</v>
      </c>
      <c r="K276" s="62">
        <v>0</v>
      </c>
      <c r="L276" s="62">
        <v>0</v>
      </c>
      <c r="M276" s="62">
        <v>0</v>
      </c>
      <c r="N276" s="62">
        <v>0</v>
      </c>
      <c r="O276" s="62">
        <f t="shared" si="65"/>
        <v>0</v>
      </c>
      <c r="P276" s="62">
        <v>0</v>
      </c>
      <c r="Q276" s="131"/>
      <c r="R276" s="35"/>
      <c r="W276" s="32">
        <f t="shared" si="56"/>
        <v>0</v>
      </c>
    </row>
    <row r="277" ht="15.75">
      <c r="A277" s="28"/>
      <c r="B277" s="72"/>
      <c r="C277" s="14"/>
      <c r="D277" s="14"/>
      <c r="E277" s="11"/>
      <c r="F277" s="11" t="s">
        <v>29</v>
      </c>
      <c r="G277" s="62">
        <f>I277+K277+M277+O277</f>
        <v>265.5</v>
      </c>
      <c r="H277" s="62">
        <f t="shared" ref="H277:H282" si="66">J277+L277+N277+P277</f>
        <v>265.5</v>
      </c>
      <c r="I277" s="62">
        <v>265.5</v>
      </c>
      <c r="J277" s="62">
        <v>265.5</v>
      </c>
      <c r="K277" s="62">
        <v>0</v>
      </c>
      <c r="L277" s="62">
        <v>0</v>
      </c>
      <c r="M277" s="62">
        <v>0</v>
      </c>
      <c r="N277" s="62">
        <v>0</v>
      </c>
      <c r="O277" s="62">
        <f t="shared" si="65"/>
        <v>0</v>
      </c>
      <c r="P277" s="62">
        <v>0</v>
      </c>
      <c r="Q277" s="131"/>
      <c r="R277" s="35"/>
      <c r="W277" s="32">
        <f t="shared" si="56"/>
        <v>0</v>
      </c>
    </row>
    <row r="278" ht="15.75">
      <c r="A278" s="28"/>
      <c r="B278" s="72"/>
      <c r="C278" s="14"/>
      <c r="D278" s="14"/>
      <c r="E278" s="11"/>
      <c r="F278" s="11" t="s">
        <v>30</v>
      </c>
      <c r="G278" s="62">
        <f>I278+K278+M278+O278</f>
        <v>807.5</v>
      </c>
      <c r="H278" s="62">
        <f t="shared" si="66"/>
        <v>807.5</v>
      </c>
      <c r="I278" s="62">
        <v>807.5</v>
      </c>
      <c r="J278" s="62">
        <v>807.5</v>
      </c>
      <c r="K278" s="62">
        <v>0</v>
      </c>
      <c r="L278" s="62">
        <v>0</v>
      </c>
      <c r="M278" s="62">
        <v>0</v>
      </c>
      <c r="N278" s="62">
        <v>0</v>
      </c>
      <c r="O278" s="62">
        <v>0</v>
      </c>
      <c r="P278" s="62">
        <v>0</v>
      </c>
      <c r="Q278" s="131"/>
      <c r="R278" s="35"/>
      <c r="W278" s="32">
        <f t="shared" si="56"/>
        <v>0</v>
      </c>
    </row>
    <row r="279" s="76" customFormat="1">
      <c r="A279" s="28"/>
      <c r="B279" s="72"/>
      <c r="C279" s="14"/>
      <c r="D279" s="14"/>
      <c r="E279" s="11"/>
      <c r="F279" s="77" t="s">
        <v>31</v>
      </c>
      <c r="G279" s="78">
        <f>I279+K279+M279+O279</f>
        <v>1237.0999999999999</v>
      </c>
      <c r="H279" s="78">
        <f t="shared" si="66"/>
        <v>1237.0999999999999</v>
      </c>
      <c r="I279" s="78">
        <v>1237.0999999999999</v>
      </c>
      <c r="J279" s="78">
        <v>1237.0999999999999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131"/>
      <c r="R279" s="68"/>
      <c r="W279" s="70">
        <f t="shared" si="56"/>
        <v>0</v>
      </c>
    </row>
    <row r="280" ht="15.75">
      <c r="A280" s="28"/>
      <c r="B280" s="72"/>
      <c r="C280" s="14"/>
      <c r="D280" s="14"/>
      <c r="E280" s="11"/>
      <c r="F280" s="11" t="s">
        <v>32</v>
      </c>
      <c r="G280" s="62">
        <f>I280+K280+M280+O280</f>
        <v>2445.5</v>
      </c>
      <c r="H280" s="62">
        <f t="shared" si="66"/>
        <v>1165.5</v>
      </c>
      <c r="I280" s="139">
        <f>1165.5+1280</f>
        <v>2445.5</v>
      </c>
      <c r="J280" s="139">
        <v>1165.5</v>
      </c>
      <c r="K280" s="62">
        <v>0</v>
      </c>
      <c r="L280" s="62">
        <v>0</v>
      </c>
      <c r="M280" s="62">
        <v>0</v>
      </c>
      <c r="N280" s="62">
        <v>0</v>
      </c>
      <c r="O280" s="62">
        <v>0</v>
      </c>
      <c r="P280" s="62">
        <v>0</v>
      </c>
      <c r="Q280" s="131"/>
      <c r="R280" s="35"/>
      <c r="W280" s="32">
        <f t="shared" si="56"/>
        <v>1280</v>
      </c>
    </row>
    <row r="281" ht="15.75">
      <c r="A281" s="28"/>
      <c r="B281" s="72"/>
      <c r="C281" s="14"/>
      <c r="D281" s="14"/>
      <c r="E281" s="11"/>
      <c r="F281" s="11" t="s">
        <v>33</v>
      </c>
      <c r="G281" s="62">
        <f>I281+K281+M281+O281</f>
        <v>2445.5</v>
      </c>
      <c r="H281" s="62">
        <f t="shared" si="66"/>
        <v>1165.5</v>
      </c>
      <c r="I281" s="139">
        <f t="shared" ref="I281:I282" si="67">I280</f>
        <v>2445.5</v>
      </c>
      <c r="J281" s="139">
        <v>1165.5</v>
      </c>
      <c r="K281" s="62">
        <v>0</v>
      </c>
      <c r="L281" s="62">
        <v>0</v>
      </c>
      <c r="M281" s="62">
        <v>0</v>
      </c>
      <c r="N281" s="62">
        <v>0</v>
      </c>
      <c r="O281" s="62">
        <v>0</v>
      </c>
      <c r="P281" s="62">
        <v>0</v>
      </c>
      <c r="Q281" s="131"/>
      <c r="R281" s="35"/>
      <c r="W281" s="32">
        <f t="shared" si="56"/>
        <v>1280</v>
      </c>
    </row>
    <row r="282" ht="15.75">
      <c r="A282" s="28"/>
      <c r="B282" s="72"/>
      <c r="C282" s="16"/>
      <c r="D282" s="16"/>
      <c r="E282" s="11"/>
      <c r="F282" s="11" t="s">
        <v>34</v>
      </c>
      <c r="G282" s="62">
        <f>I282+K282+M282+O282</f>
        <v>2445.5</v>
      </c>
      <c r="H282" s="62">
        <f t="shared" si="66"/>
        <v>1165.5</v>
      </c>
      <c r="I282" s="139">
        <f t="shared" si="67"/>
        <v>2445.5</v>
      </c>
      <c r="J282" s="139">
        <v>1165.5</v>
      </c>
      <c r="K282" s="62">
        <v>0</v>
      </c>
      <c r="L282" s="62">
        <v>0</v>
      </c>
      <c r="M282" s="62">
        <v>0</v>
      </c>
      <c r="N282" s="62">
        <v>0</v>
      </c>
      <c r="O282" s="62">
        <v>0</v>
      </c>
      <c r="P282" s="62">
        <v>0</v>
      </c>
      <c r="Q282" s="131"/>
      <c r="R282" s="35"/>
      <c r="W282" s="32">
        <f t="shared" si="56"/>
        <v>1280</v>
      </c>
    </row>
    <row r="283" s="26" customFormat="1" ht="15.6" customHeight="1">
      <c r="A283" s="28"/>
      <c r="B283" s="72" t="s">
        <v>104</v>
      </c>
      <c r="C283" s="140"/>
      <c r="D283" s="140"/>
      <c r="E283" s="14"/>
      <c r="F283" s="11" t="s">
        <v>21</v>
      </c>
      <c r="G283" s="62">
        <f>SUM(G284:G289)</f>
        <v>1815.5999999999999</v>
      </c>
      <c r="H283" s="62">
        <f>SUM(H284:H289)</f>
        <v>1515.5999999999999</v>
      </c>
      <c r="I283" s="62">
        <f>SUM(I284:I289)</f>
        <v>1500</v>
      </c>
      <c r="J283" s="62">
        <f>SUM(J284:J289)</f>
        <v>1500</v>
      </c>
      <c r="K283" s="62">
        <f>SUM(K284:K289)</f>
        <v>0</v>
      </c>
      <c r="L283" s="62">
        <f>SUM(L284:L289)</f>
        <v>0</v>
      </c>
      <c r="M283" s="62">
        <f>SUM(M284:M289)</f>
        <v>300</v>
      </c>
      <c r="N283" s="62">
        <f>SUM(N284:N289)</f>
        <v>0</v>
      </c>
      <c r="O283" s="62">
        <f>SUM(O284:O289)</f>
        <v>15.6</v>
      </c>
      <c r="P283" s="62">
        <f>SUM(P284:P289)</f>
        <v>15.6</v>
      </c>
      <c r="Q283" s="131"/>
      <c r="R283" s="35"/>
      <c r="W283" s="32">
        <f t="shared" si="56"/>
        <v>0</v>
      </c>
    </row>
    <row r="284" s="8" customFormat="1" ht="31.149999999999999" customHeight="1">
      <c r="A284" s="28"/>
      <c r="B284" s="72"/>
      <c r="C284" s="141"/>
      <c r="D284" s="141"/>
      <c r="E284" s="14"/>
      <c r="F284" s="11" t="s">
        <v>23</v>
      </c>
      <c r="G284" s="62">
        <f>I284+K284+M284+O284</f>
        <v>1815.5999999999999</v>
      </c>
      <c r="H284" s="62">
        <f>J284+L284+N284+P284</f>
        <v>1515.5999999999999</v>
      </c>
      <c r="I284" s="62">
        <v>1500</v>
      </c>
      <c r="J284" s="62">
        <v>1500</v>
      </c>
      <c r="K284" s="62">
        <v>0</v>
      </c>
      <c r="L284" s="62">
        <v>0</v>
      </c>
      <c r="M284" s="62">
        <v>300</v>
      </c>
      <c r="N284" s="62">
        <v>0</v>
      </c>
      <c r="O284" s="62">
        <v>15.6</v>
      </c>
      <c r="P284" s="62">
        <f>O284</f>
        <v>15.6</v>
      </c>
      <c r="Q284" s="131"/>
      <c r="R284" s="108"/>
      <c r="W284" s="32">
        <f t="shared" si="56"/>
        <v>0</v>
      </c>
    </row>
    <row r="285" ht="25.899999999999999" customHeight="1">
      <c r="A285" s="28"/>
      <c r="B285" s="72"/>
      <c r="C285" s="142"/>
      <c r="D285" s="142"/>
      <c r="E285" s="16"/>
      <c r="F285" s="11" t="s">
        <v>25</v>
      </c>
      <c r="G285" s="81" t="s">
        <v>105</v>
      </c>
      <c r="H285" s="82"/>
      <c r="I285" s="82"/>
      <c r="J285" s="82"/>
      <c r="K285" s="82"/>
      <c r="L285" s="82"/>
      <c r="M285" s="82"/>
      <c r="N285" s="82"/>
      <c r="O285" s="82"/>
      <c r="P285" s="83"/>
      <c r="Q285" s="131"/>
      <c r="R285" s="35"/>
      <c r="W285" s="32">
        <f t="shared" si="56"/>
        <v>0</v>
      </c>
    </row>
    <row r="286" ht="15.6" hidden="1" customHeight="1">
      <c r="A286" s="28"/>
      <c r="B286" s="72"/>
      <c r="C286" s="11"/>
      <c r="D286" s="11"/>
      <c r="E286" s="16"/>
      <c r="F286" s="11" t="s">
        <v>26</v>
      </c>
      <c r="G286" s="85"/>
      <c r="H286" s="86"/>
      <c r="I286" s="86"/>
      <c r="J286" s="86"/>
      <c r="K286" s="86"/>
      <c r="L286" s="86"/>
      <c r="M286" s="86"/>
      <c r="N286" s="86"/>
      <c r="O286" s="86"/>
      <c r="P286" s="87"/>
      <c r="Q286" s="131"/>
      <c r="R286" s="35"/>
      <c r="W286" s="32">
        <f t="shared" si="56"/>
        <v>0</v>
      </c>
    </row>
    <row r="287" ht="15.6" hidden="1" customHeight="1">
      <c r="A287" s="28"/>
      <c r="B287" s="72"/>
      <c r="C287" s="11"/>
      <c r="D287" s="11"/>
      <c r="E287" s="140"/>
      <c r="F287" s="11" t="s">
        <v>27</v>
      </c>
      <c r="G287" s="85"/>
      <c r="H287" s="86"/>
      <c r="I287" s="86"/>
      <c r="J287" s="86"/>
      <c r="K287" s="86"/>
      <c r="L287" s="86"/>
      <c r="M287" s="86"/>
      <c r="N287" s="86"/>
      <c r="O287" s="86"/>
      <c r="P287" s="87"/>
      <c r="Q287" s="131"/>
      <c r="R287" s="35"/>
      <c r="W287" s="32">
        <f t="shared" si="56"/>
        <v>0</v>
      </c>
    </row>
    <row r="288" ht="15.6" hidden="1" customHeight="1">
      <c r="A288" s="28"/>
      <c r="B288" s="72"/>
      <c r="C288" s="11"/>
      <c r="D288" s="11"/>
      <c r="E288" s="141"/>
      <c r="F288" s="11" t="s">
        <v>28</v>
      </c>
      <c r="G288" s="85"/>
      <c r="H288" s="86"/>
      <c r="I288" s="86"/>
      <c r="J288" s="86"/>
      <c r="K288" s="86"/>
      <c r="L288" s="86"/>
      <c r="M288" s="86"/>
      <c r="N288" s="86"/>
      <c r="O288" s="86"/>
      <c r="P288" s="87"/>
      <c r="Q288" s="131"/>
      <c r="R288" s="35"/>
      <c r="W288" s="32">
        <f t="shared" si="56"/>
        <v>0</v>
      </c>
    </row>
    <row r="289" ht="15.6" hidden="1" customHeight="1">
      <c r="A289" s="28"/>
      <c r="B289" s="72"/>
      <c r="C289" s="11"/>
      <c r="D289" s="11"/>
      <c r="E289" s="142"/>
      <c r="F289" s="11" t="s">
        <v>29</v>
      </c>
      <c r="G289" s="88"/>
      <c r="H289" s="89"/>
      <c r="I289" s="89"/>
      <c r="J289" s="89"/>
      <c r="K289" s="89"/>
      <c r="L289" s="89"/>
      <c r="M289" s="89"/>
      <c r="N289" s="89"/>
      <c r="O289" s="89"/>
      <c r="P289" s="90"/>
      <c r="Q289" s="131"/>
      <c r="R289" s="35"/>
      <c r="W289" s="32">
        <f t="shared" si="56"/>
        <v>0</v>
      </c>
    </row>
    <row r="290" s="26" customFormat="1">
      <c r="A290" s="28"/>
      <c r="B290" s="72" t="s">
        <v>106</v>
      </c>
      <c r="C290" s="12" t="s">
        <v>69</v>
      </c>
      <c r="D290" s="12"/>
      <c r="E290" s="12"/>
      <c r="F290" s="11" t="s">
        <v>21</v>
      </c>
      <c r="G290" s="62">
        <f>SUM(G291:G296)</f>
        <v>6500</v>
      </c>
      <c r="H290" s="62">
        <f>SUM(H291:H296)</f>
        <v>0</v>
      </c>
      <c r="I290" s="62">
        <f>SUM(I291:I296)</f>
        <v>6500</v>
      </c>
      <c r="J290" s="62">
        <f>SUM(J291:J296)</f>
        <v>0</v>
      </c>
      <c r="K290" s="62">
        <f>SUM(K291:K296)</f>
        <v>0</v>
      </c>
      <c r="L290" s="62">
        <f>SUM(L291:L296)</f>
        <v>0</v>
      </c>
      <c r="M290" s="62">
        <f>SUM(M291:M296)</f>
        <v>0</v>
      </c>
      <c r="N290" s="62">
        <f>SUM(N291:N296)</f>
        <v>0</v>
      </c>
      <c r="O290" s="62">
        <f>SUM(O291:O296)</f>
        <v>0</v>
      </c>
      <c r="P290" s="62">
        <f>SUM(P291:P296)</f>
        <v>0</v>
      </c>
      <c r="Q290" s="131"/>
      <c r="R290" s="35"/>
      <c r="W290" s="32">
        <f t="shared" si="56"/>
        <v>6500</v>
      </c>
    </row>
    <row r="291" s="8" customFormat="1" ht="31.899999999999999" customHeight="1">
      <c r="A291" s="28"/>
      <c r="B291" s="72"/>
      <c r="C291" s="14"/>
      <c r="D291" s="14"/>
      <c r="E291" s="14"/>
      <c r="F291" s="11" t="s">
        <v>23</v>
      </c>
      <c r="G291" s="62">
        <f>I291+K291+M291+O291</f>
        <v>6500</v>
      </c>
      <c r="H291" s="62">
        <f>J291+L291+N291+P291</f>
        <v>0</v>
      </c>
      <c r="I291" s="62">
        <f>6500</f>
        <v>6500</v>
      </c>
      <c r="J291" s="62">
        <v>0</v>
      </c>
      <c r="K291" s="62">
        <v>0</v>
      </c>
      <c r="L291" s="62">
        <v>0</v>
      </c>
      <c r="M291" s="62">
        <v>0</v>
      </c>
      <c r="N291" s="62">
        <v>0</v>
      </c>
      <c r="O291" s="62">
        <v>0</v>
      </c>
      <c r="P291" s="62">
        <f>O291</f>
        <v>0</v>
      </c>
      <c r="Q291" s="131"/>
      <c r="R291" s="108"/>
      <c r="W291" s="32">
        <f t="shared" si="56"/>
        <v>6500</v>
      </c>
    </row>
    <row r="292" ht="61.149999999999999" customHeight="1">
      <c r="A292" s="28"/>
      <c r="B292" s="72"/>
      <c r="C292" s="16"/>
      <c r="D292" s="16"/>
      <c r="E292" s="16"/>
      <c r="F292" s="11" t="s">
        <v>25</v>
      </c>
      <c r="G292" s="81" t="s">
        <v>105</v>
      </c>
      <c r="H292" s="82"/>
      <c r="I292" s="82"/>
      <c r="J292" s="82"/>
      <c r="K292" s="82"/>
      <c r="L292" s="82"/>
      <c r="M292" s="82"/>
      <c r="N292" s="82"/>
      <c r="O292" s="82"/>
      <c r="P292" s="83"/>
      <c r="Q292" s="131"/>
      <c r="R292" s="35"/>
      <c r="W292" s="32">
        <f t="shared" si="56"/>
        <v>0</v>
      </c>
    </row>
    <row r="293" ht="15.6" hidden="1" customHeight="1">
      <c r="A293" s="28"/>
      <c r="B293" s="72"/>
      <c r="C293" s="11"/>
      <c r="D293" s="11"/>
      <c r="E293" s="11"/>
      <c r="F293" s="11" t="s">
        <v>26</v>
      </c>
      <c r="G293" s="85"/>
      <c r="H293" s="86"/>
      <c r="I293" s="86"/>
      <c r="J293" s="86"/>
      <c r="K293" s="86"/>
      <c r="L293" s="86"/>
      <c r="M293" s="86"/>
      <c r="N293" s="86"/>
      <c r="O293" s="86"/>
      <c r="P293" s="87"/>
      <c r="Q293" s="131"/>
      <c r="R293" s="35"/>
      <c r="W293" s="32">
        <f t="shared" si="56"/>
        <v>0</v>
      </c>
    </row>
    <row r="294" ht="15.6" hidden="1" customHeight="1">
      <c r="A294" s="28"/>
      <c r="B294" s="72"/>
      <c r="C294" s="11"/>
      <c r="D294" s="11"/>
      <c r="E294" s="12"/>
      <c r="F294" s="11" t="s">
        <v>27</v>
      </c>
      <c r="G294" s="85"/>
      <c r="H294" s="86"/>
      <c r="I294" s="86"/>
      <c r="J294" s="86"/>
      <c r="K294" s="86"/>
      <c r="L294" s="86"/>
      <c r="M294" s="86"/>
      <c r="N294" s="86"/>
      <c r="O294" s="86"/>
      <c r="P294" s="87"/>
      <c r="Q294" s="131"/>
      <c r="R294" s="35"/>
      <c r="W294" s="32">
        <f t="shared" si="56"/>
        <v>0</v>
      </c>
    </row>
    <row r="295" ht="15.6" hidden="1" customHeight="1">
      <c r="A295" s="28"/>
      <c r="B295" s="72"/>
      <c r="C295" s="11"/>
      <c r="D295" s="11"/>
      <c r="E295" s="14"/>
      <c r="F295" s="11" t="s">
        <v>28</v>
      </c>
      <c r="G295" s="85"/>
      <c r="H295" s="86"/>
      <c r="I295" s="86"/>
      <c r="J295" s="86"/>
      <c r="K295" s="86"/>
      <c r="L295" s="86"/>
      <c r="M295" s="86"/>
      <c r="N295" s="86"/>
      <c r="O295" s="86"/>
      <c r="P295" s="87"/>
      <c r="Q295" s="131"/>
      <c r="R295" s="35"/>
      <c r="W295" s="32">
        <f t="shared" si="56"/>
        <v>0</v>
      </c>
    </row>
    <row r="296" ht="15.6" hidden="1" customHeight="1">
      <c r="A296" s="28"/>
      <c r="B296" s="72"/>
      <c r="C296" s="11"/>
      <c r="D296" s="11"/>
      <c r="E296" s="16"/>
      <c r="F296" s="11" t="s">
        <v>29</v>
      </c>
      <c r="G296" s="88"/>
      <c r="H296" s="89"/>
      <c r="I296" s="89"/>
      <c r="J296" s="89"/>
      <c r="K296" s="89"/>
      <c r="L296" s="89"/>
      <c r="M296" s="89"/>
      <c r="N296" s="89"/>
      <c r="O296" s="89"/>
      <c r="P296" s="90"/>
      <c r="Q296" s="131"/>
      <c r="R296" s="35"/>
      <c r="W296" s="32">
        <f t="shared" si="56"/>
        <v>0</v>
      </c>
    </row>
    <row r="297" ht="15.6" hidden="1" customHeight="1">
      <c r="A297" s="28"/>
      <c r="B297" s="72" t="s">
        <v>107</v>
      </c>
      <c r="C297" s="11"/>
      <c r="D297" s="11"/>
      <c r="E297" s="11"/>
      <c r="F297" s="11" t="s">
        <v>21</v>
      </c>
      <c r="G297" s="62">
        <f>SUM(G298:G303)</f>
        <v>0</v>
      </c>
      <c r="H297" s="62">
        <f>SUM(H298:H303)</f>
        <v>0</v>
      </c>
      <c r="I297" s="62">
        <f>SUM(I298:I303)</f>
        <v>0</v>
      </c>
      <c r="J297" s="62">
        <f>SUM(J298:J303)</f>
        <v>0</v>
      </c>
      <c r="K297" s="62">
        <f>SUM(K298:K303)</f>
        <v>0</v>
      </c>
      <c r="L297" s="62">
        <f>SUM(L298:L303)</f>
        <v>0</v>
      </c>
      <c r="M297" s="62">
        <f>SUM(M298:M303)</f>
        <v>0</v>
      </c>
      <c r="N297" s="62">
        <f>SUM(N298:N303)</f>
        <v>0</v>
      </c>
      <c r="O297" s="62">
        <f>SUM(O298:O303)</f>
        <v>0</v>
      </c>
      <c r="P297" s="62">
        <f>SUM(P298:P303)</f>
        <v>0</v>
      </c>
      <c r="Q297" s="131"/>
      <c r="R297" s="35"/>
      <c r="W297" s="32">
        <f t="shared" si="56"/>
        <v>0</v>
      </c>
    </row>
    <row r="298" s="8" customFormat="1" ht="15.6" hidden="1" customHeight="1">
      <c r="A298" s="28"/>
      <c r="B298" s="72" t="s">
        <v>108</v>
      </c>
      <c r="C298" s="11"/>
      <c r="D298" s="11"/>
      <c r="E298" s="11"/>
      <c r="F298" s="11" t="s">
        <v>23</v>
      </c>
      <c r="G298" s="62">
        <f>I298+K298+M298+O298</f>
        <v>0</v>
      </c>
      <c r="H298" s="62">
        <f>J298+L298+N298+P298</f>
        <v>0</v>
      </c>
      <c r="I298" s="62"/>
      <c r="J298" s="62">
        <v>0</v>
      </c>
      <c r="K298" s="62">
        <v>0</v>
      </c>
      <c r="L298" s="62">
        <v>0</v>
      </c>
      <c r="M298" s="62">
        <v>0</v>
      </c>
      <c r="N298" s="62">
        <v>0</v>
      </c>
      <c r="O298" s="62">
        <f t="shared" ref="O298:O303" si="68">P298</f>
        <v>0</v>
      </c>
      <c r="P298" s="62">
        <v>0</v>
      </c>
      <c r="Q298" s="131"/>
      <c r="R298" s="108"/>
      <c r="W298" s="32">
        <f t="shared" si="56"/>
        <v>0</v>
      </c>
    </row>
    <row r="299" ht="15.6" hidden="1" customHeight="1">
      <c r="A299" s="28"/>
      <c r="B299" s="72" t="s">
        <v>109</v>
      </c>
      <c r="C299" s="11"/>
      <c r="D299" s="11"/>
      <c r="E299" s="11"/>
      <c r="F299" s="11" t="s">
        <v>25</v>
      </c>
      <c r="G299" s="62">
        <f>I299+K299+M299+O299</f>
        <v>0</v>
      </c>
      <c r="H299" s="62">
        <f>J299+L299+N299+P299</f>
        <v>0</v>
      </c>
      <c r="I299" s="62"/>
      <c r="J299" s="62">
        <v>0</v>
      </c>
      <c r="K299" s="62">
        <v>0</v>
      </c>
      <c r="L299" s="62">
        <v>0</v>
      </c>
      <c r="M299" s="62">
        <v>0</v>
      </c>
      <c r="N299" s="62">
        <v>0</v>
      </c>
      <c r="O299" s="62">
        <f t="shared" si="68"/>
        <v>0</v>
      </c>
      <c r="P299" s="62">
        <v>0</v>
      </c>
      <c r="Q299" s="131"/>
      <c r="R299" s="35"/>
      <c r="W299" s="32">
        <f t="shared" si="56"/>
        <v>0</v>
      </c>
    </row>
    <row r="300" ht="15.6" hidden="1" customHeight="1">
      <c r="A300" s="28"/>
      <c r="B300" s="72"/>
      <c r="C300" s="11"/>
      <c r="D300" s="11"/>
      <c r="E300" s="11"/>
      <c r="F300" s="11" t="s">
        <v>26</v>
      </c>
      <c r="G300" s="62">
        <f>I300+K300+M300+O300</f>
        <v>0</v>
      </c>
      <c r="H300" s="62">
        <f>J300+L300+N300+P300</f>
        <v>0</v>
      </c>
      <c r="I300" s="62"/>
      <c r="J300" s="62">
        <v>0</v>
      </c>
      <c r="K300" s="62">
        <v>0</v>
      </c>
      <c r="L300" s="62">
        <v>0</v>
      </c>
      <c r="M300" s="62">
        <v>0</v>
      </c>
      <c r="N300" s="62">
        <v>0</v>
      </c>
      <c r="O300" s="62">
        <f t="shared" si="68"/>
        <v>0</v>
      </c>
      <c r="P300" s="62">
        <v>0</v>
      </c>
      <c r="Q300" s="131"/>
      <c r="R300" s="35"/>
      <c r="W300" s="32">
        <f t="shared" si="56"/>
        <v>0</v>
      </c>
    </row>
    <row r="301" ht="15.6" hidden="1" customHeight="1">
      <c r="A301" s="28"/>
      <c r="B301" s="72"/>
      <c r="C301" s="11"/>
      <c r="D301" s="11"/>
      <c r="E301" s="11"/>
      <c r="F301" s="11" t="s">
        <v>27</v>
      </c>
      <c r="G301" s="62">
        <f>I301+K301+M301+O301</f>
        <v>0</v>
      </c>
      <c r="H301" s="62">
        <f>J301+L301+N301+P301</f>
        <v>0</v>
      </c>
      <c r="I301" s="62"/>
      <c r="J301" s="62">
        <v>0</v>
      </c>
      <c r="K301" s="62">
        <v>0</v>
      </c>
      <c r="L301" s="62">
        <v>0</v>
      </c>
      <c r="M301" s="62">
        <v>0</v>
      </c>
      <c r="N301" s="62">
        <v>0</v>
      </c>
      <c r="O301" s="62">
        <f t="shared" si="68"/>
        <v>0</v>
      </c>
      <c r="P301" s="62">
        <v>0</v>
      </c>
      <c r="Q301" s="131"/>
      <c r="R301" s="35"/>
      <c r="W301" s="32">
        <f t="shared" si="56"/>
        <v>0</v>
      </c>
    </row>
    <row r="302" ht="15.6" hidden="1" customHeight="1">
      <c r="A302" s="28"/>
      <c r="B302" s="72"/>
      <c r="C302" s="11"/>
      <c r="D302" s="11"/>
      <c r="E302" s="11"/>
      <c r="F302" s="11" t="s">
        <v>28</v>
      </c>
      <c r="G302" s="62">
        <f>I302+K302+M302+O302</f>
        <v>0</v>
      </c>
      <c r="H302" s="62">
        <f>J302+L302+N302+P302</f>
        <v>0</v>
      </c>
      <c r="I302" s="62"/>
      <c r="J302" s="62">
        <v>0</v>
      </c>
      <c r="K302" s="62">
        <v>0</v>
      </c>
      <c r="L302" s="62">
        <v>0</v>
      </c>
      <c r="M302" s="62">
        <v>0</v>
      </c>
      <c r="N302" s="62">
        <v>0</v>
      </c>
      <c r="O302" s="62">
        <f t="shared" si="68"/>
        <v>0</v>
      </c>
      <c r="P302" s="62">
        <v>0</v>
      </c>
      <c r="Q302" s="131"/>
      <c r="R302" s="35"/>
      <c r="W302" s="32">
        <f t="shared" si="56"/>
        <v>0</v>
      </c>
    </row>
    <row r="303" ht="15.6" hidden="1" customHeight="1">
      <c r="A303" s="28"/>
      <c r="B303" s="72"/>
      <c r="C303" s="11"/>
      <c r="D303" s="11"/>
      <c r="E303" s="11"/>
      <c r="F303" s="11" t="s">
        <v>29</v>
      </c>
      <c r="G303" s="62">
        <f>I303+K303+M303+O303</f>
        <v>0</v>
      </c>
      <c r="H303" s="62">
        <f>J303+L303+N303+P303</f>
        <v>0</v>
      </c>
      <c r="I303" s="62"/>
      <c r="J303" s="62">
        <v>0</v>
      </c>
      <c r="K303" s="62">
        <v>0</v>
      </c>
      <c r="L303" s="62">
        <v>0</v>
      </c>
      <c r="M303" s="62">
        <v>0</v>
      </c>
      <c r="N303" s="62">
        <v>0</v>
      </c>
      <c r="O303" s="62">
        <f t="shared" si="68"/>
        <v>0</v>
      </c>
      <c r="P303" s="62">
        <v>0</v>
      </c>
      <c r="Q303" s="131"/>
      <c r="R303" s="35"/>
      <c r="W303" s="32">
        <f t="shared" si="56"/>
        <v>0</v>
      </c>
    </row>
    <row r="304" ht="15.6" hidden="1" customHeight="1">
      <c r="A304" s="28"/>
      <c r="B304" s="72" t="s">
        <v>110</v>
      </c>
      <c r="C304" s="11"/>
      <c r="D304" s="11"/>
      <c r="E304" s="11"/>
      <c r="F304" s="11" t="s">
        <v>21</v>
      </c>
      <c r="G304" s="62">
        <f>SUM(G305:G310)</f>
        <v>0</v>
      </c>
      <c r="H304" s="62">
        <f>SUM(H305:H310)</f>
        <v>0</v>
      </c>
      <c r="I304" s="62">
        <f>SUM(I305:I310)</f>
        <v>0</v>
      </c>
      <c r="J304" s="62">
        <f>SUM(J305:J310)</f>
        <v>0</v>
      </c>
      <c r="K304" s="62">
        <f>SUM(K305:K310)</f>
        <v>0</v>
      </c>
      <c r="L304" s="62">
        <f>SUM(L305:L310)</f>
        <v>0</v>
      </c>
      <c r="M304" s="62">
        <f>SUM(M305:M310)</f>
        <v>0</v>
      </c>
      <c r="N304" s="62">
        <f>SUM(N305:N310)</f>
        <v>0</v>
      </c>
      <c r="O304" s="62">
        <f>SUM(O305:O310)</f>
        <v>0</v>
      </c>
      <c r="P304" s="62">
        <f>SUM(P305:P310)</f>
        <v>0</v>
      </c>
      <c r="Q304" s="131"/>
      <c r="R304" s="35"/>
      <c r="W304" s="32">
        <f t="shared" si="56"/>
        <v>0</v>
      </c>
    </row>
    <row r="305" s="8" customFormat="1" ht="15.6" hidden="1" customHeight="1">
      <c r="A305" s="28"/>
      <c r="B305" s="72"/>
      <c r="C305" s="11"/>
      <c r="D305" s="11"/>
      <c r="E305" s="11"/>
      <c r="F305" s="11" t="s">
        <v>23</v>
      </c>
      <c r="G305" s="62">
        <f>I305+K305+M305+O305</f>
        <v>0</v>
      </c>
      <c r="H305" s="62">
        <f>J305+L305+N305+P305</f>
        <v>0</v>
      </c>
      <c r="I305" s="62"/>
      <c r="J305" s="62">
        <v>0</v>
      </c>
      <c r="K305" s="62">
        <v>0</v>
      </c>
      <c r="L305" s="62">
        <v>0</v>
      </c>
      <c r="M305" s="62">
        <v>0</v>
      </c>
      <c r="N305" s="62">
        <v>0</v>
      </c>
      <c r="O305" s="62">
        <f t="shared" ref="O305:O310" si="69">P305</f>
        <v>0</v>
      </c>
      <c r="P305" s="62">
        <v>0</v>
      </c>
      <c r="Q305" s="131"/>
      <c r="R305" s="108"/>
      <c r="W305" s="32">
        <f t="shared" si="56"/>
        <v>0</v>
      </c>
    </row>
    <row r="306" ht="15.6" hidden="1" customHeight="1">
      <c r="A306" s="28"/>
      <c r="B306" s="72"/>
      <c r="C306" s="11"/>
      <c r="D306" s="11"/>
      <c r="E306" s="11"/>
      <c r="F306" s="11" t="s">
        <v>25</v>
      </c>
      <c r="G306" s="62">
        <f>I306+K306+M306+O306</f>
        <v>0</v>
      </c>
      <c r="H306" s="62">
        <f>J306+L306+N306+P306</f>
        <v>0</v>
      </c>
      <c r="I306" s="62"/>
      <c r="J306" s="62">
        <v>0</v>
      </c>
      <c r="K306" s="62">
        <v>0</v>
      </c>
      <c r="L306" s="62">
        <v>0</v>
      </c>
      <c r="M306" s="62">
        <v>0</v>
      </c>
      <c r="N306" s="62">
        <v>0</v>
      </c>
      <c r="O306" s="62">
        <f t="shared" si="69"/>
        <v>0</v>
      </c>
      <c r="P306" s="62">
        <v>0</v>
      </c>
      <c r="Q306" s="131"/>
      <c r="R306" s="35"/>
      <c r="W306" s="32">
        <f t="shared" si="56"/>
        <v>0</v>
      </c>
    </row>
    <row r="307" ht="15.6" hidden="1" customHeight="1">
      <c r="A307" s="28"/>
      <c r="B307" s="72"/>
      <c r="C307" s="11"/>
      <c r="D307" s="11"/>
      <c r="E307" s="11"/>
      <c r="F307" s="11" t="s">
        <v>26</v>
      </c>
      <c r="G307" s="62">
        <f>I307+K307+M307+O307</f>
        <v>0</v>
      </c>
      <c r="H307" s="62">
        <f>J307+L307+N307+P307</f>
        <v>0</v>
      </c>
      <c r="I307" s="62"/>
      <c r="J307" s="62">
        <v>0</v>
      </c>
      <c r="K307" s="62">
        <v>0</v>
      </c>
      <c r="L307" s="62">
        <v>0</v>
      </c>
      <c r="M307" s="62">
        <v>0</v>
      </c>
      <c r="N307" s="62">
        <v>0</v>
      </c>
      <c r="O307" s="62">
        <f t="shared" si="69"/>
        <v>0</v>
      </c>
      <c r="P307" s="62">
        <v>0</v>
      </c>
      <c r="Q307" s="131"/>
      <c r="R307" s="35"/>
      <c r="W307" s="32">
        <f t="shared" si="56"/>
        <v>0</v>
      </c>
    </row>
    <row r="308" ht="15.6" hidden="1" customHeight="1">
      <c r="A308" s="28"/>
      <c r="B308" s="72"/>
      <c r="C308" s="11"/>
      <c r="D308" s="11"/>
      <c r="E308" s="11"/>
      <c r="F308" s="11" t="s">
        <v>27</v>
      </c>
      <c r="G308" s="62">
        <f>I308+K308+M308+O308</f>
        <v>0</v>
      </c>
      <c r="H308" s="62">
        <f>J308+L308+N308+P308</f>
        <v>0</v>
      </c>
      <c r="I308" s="62"/>
      <c r="J308" s="62">
        <v>0</v>
      </c>
      <c r="K308" s="62">
        <v>0</v>
      </c>
      <c r="L308" s="62">
        <v>0</v>
      </c>
      <c r="M308" s="62">
        <v>0</v>
      </c>
      <c r="N308" s="62">
        <v>0</v>
      </c>
      <c r="O308" s="62">
        <f t="shared" si="69"/>
        <v>0</v>
      </c>
      <c r="P308" s="62">
        <v>0</v>
      </c>
      <c r="Q308" s="131"/>
      <c r="R308" s="35"/>
      <c r="W308" s="32">
        <f t="shared" si="56"/>
        <v>0</v>
      </c>
    </row>
    <row r="309" ht="15.6" hidden="1" customHeight="1">
      <c r="A309" s="28"/>
      <c r="B309" s="72"/>
      <c r="C309" s="11"/>
      <c r="D309" s="11"/>
      <c r="E309" s="11"/>
      <c r="F309" s="11" t="s">
        <v>28</v>
      </c>
      <c r="G309" s="62">
        <f>I309+K309+M309+O309</f>
        <v>0</v>
      </c>
      <c r="H309" s="62">
        <f>J309+L309+N309+P309</f>
        <v>0</v>
      </c>
      <c r="I309" s="62"/>
      <c r="J309" s="62">
        <v>0</v>
      </c>
      <c r="K309" s="62">
        <v>0</v>
      </c>
      <c r="L309" s="62">
        <v>0</v>
      </c>
      <c r="M309" s="62">
        <v>0</v>
      </c>
      <c r="N309" s="62">
        <v>0</v>
      </c>
      <c r="O309" s="62">
        <f t="shared" si="69"/>
        <v>0</v>
      </c>
      <c r="P309" s="62">
        <v>0</v>
      </c>
      <c r="Q309" s="131"/>
      <c r="R309" s="35"/>
      <c r="W309" s="32">
        <f t="shared" si="56"/>
        <v>0</v>
      </c>
    </row>
    <row r="310" ht="15.6" hidden="1" customHeight="1">
      <c r="A310" s="28"/>
      <c r="B310" s="72"/>
      <c r="C310" s="11"/>
      <c r="D310" s="11"/>
      <c r="E310" s="11"/>
      <c r="F310" s="11" t="s">
        <v>29</v>
      </c>
      <c r="G310" s="62">
        <f>I310+K310+M310+O310</f>
        <v>0</v>
      </c>
      <c r="H310" s="62">
        <f>J310+L310+N310+P310</f>
        <v>0</v>
      </c>
      <c r="I310" s="62"/>
      <c r="J310" s="62">
        <v>0</v>
      </c>
      <c r="K310" s="62">
        <v>0</v>
      </c>
      <c r="L310" s="62">
        <v>0</v>
      </c>
      <c r="M310" s="62">
        <v>0</v>
      </c>
      <c r="N310" s="62">
        <v>0</v>
      </c>
      <c r="O310" s="62">
        <f t="shared" si="69"/>
        <v>0</v>
      </c>
      <c r="P310" s="62">
        <v>0</v>
      </c>
      <c r="Q310" s="131"/>
      <c r="R310" s="35"/>
      <c r="W310" s="32">
        <f t="shared" si="56"/>
        <v>0</v>
      </c>
    </row>
    <row r="311" s="26" customFormat="1" ht="101.25" customHeight="1">
      <c r="A311" s="28"/>
      <c r="B311" s="72" t="s">
        <v>111</v>
      </c>
      <c r="C311" s="12" t="s">
        <v>69</v>
      </c>
      <c r="D311" s="12"/>
      <c r="E311" s="12"/>
      <c r="F311" s="11" t="s">
        <v>21</v>
      </c>
      <c r="G311" s="62">
        <f>SUM(G312:G317)</f>
        <v>1145</v>
      </c>
      <c r="H311" s="62">
        <f>SUM(H312:H317)</f>
        <v>445</v>
      </c>
      <c r="I311" s="62">
        <f>SUM(I312:I317)</f>
        <v>930</v>
      </c>
      <c r="J311" s="62">
        <f>SUM(J312:J317)</f>
        <v>430</v>
      </c>
      <c r="K311" s="62">
        <f>SUM(K312:K317)</f>
        <v>100</v>
      </c>
      <c r="L311" s="62">
        <f>SUM(L312:L317)</f>
        <v>0</v>
      </c>
      <c r="M311" s="62">
        <f>SUM(M312:M317)</f>
        <v>100</v>
      </c>
      <c r="N311" s="62">
        <f>SUM(N312:N317)</f>
        <v>0</v>
      </c>
      <c r="O311" s="62">
        <f>SUM(O312:O317)</f>
        <v>15</v>
      </c>
      <c r="P311" s="62">
        <f>SUM(P312:P317)</f>
        <v>15</v>
      </c>
      <c r="Q311" s="131"/>
      <c r="R311" s="35"/>
      <c r="W311" s="32">
        <f t="shared" si="56"/>
        <v>500</v>
      </c>
    </row>
    <row r="312" s="8" customFormat="1" ht="101.25" customHeight="1">
      <c r="A312" s="28"/>
      <c r="B312" s="72"/>
      <c r="C312" s="14"/>
      <c r="D312" s="14"/>
      <c r="E312" s="14"/>
      <c r="F312" s="11" t="s">
        <v>23</v>
      </c>
      <c r="G312" s="62">
        <f>I312+K312+M312+O312</f>
        <v>1145</v>
      </c>
      <c r="H312" s="62">
        <f>J312+L312+N312+P312</f>
        <v>445</v>
      </c>
      <c r="I312" s="62">
        <f>500+J312</f>
        <v>930</v>
      </c>
      <c r="J312" s="62">
        <v>430</v>
      </c>
      <c r="K312" s="62">
        <v>100</v>
      </c>
      <c r="L312" s="62">
        <v>0</v>
      </c>
      <c r="M312" s="62">
        <v>100</v>
      </c>
      <c r="N312" s="62">
        <v>0</v>
      </c>
      <c r="O312" s="62">
        <v>15</v>
      </c>
      <c r="P312" s="62">
        <f>O312</f>
        <v>15</v>
      </c>
      <c r="Q312" s="131"/>
      <c r="R312" s="108"/>
      <c r="W312" s="32">
        <f t="shared" si="56"/>
        <v>500</v>
      </c>
    </row>
    <row r="313" ht="124.5" customHeight="1">
      <c r="A313" s="28"/>
      <c r="B313" s="72"/>
      <c r="C313" s="16"/>
      <c r="D313" s="16"/>
      <c r="E313" s="16"/>
      <c r="F313" s="11" t="s">
        <v>25</v>
      </c>
      <c r="G313" s="81" t="s">
        <v>112</v>
      </c>
      <c r="H313" s="82"/>
      <c r="I313" s="82"/>
      <c r="J313" s="82"/>
      <c r="K313" s="82"/>
      <c r="L313" s="82"/>
      <c r="M313" s="82"/>
      <c r="N313" s="82"/>
      <c r="O313" s="82"/>
      <c r="P313" s="83"/>
      <c r="Q313" s="131"/>
      <c r="R313" s="35"/>
      <c r="W313" s="32">
        <f t="shared" si="56"/>
        <v>0</v>
      </c>
    </row>
    <row r="314" ht="15.6" hidden="1" customHeight="1">
      <c r="A314" s="28"/>
      <c r="B314" s="72"/>
      <c r="C314" s="11"/>
      <c r="D314" s="11"/>
      <c r="E314" s="11"/>
      <c r="F314" s="11" t="s">
        <v>26</v>
      </c>
      <c r="G314" s="85"/>
      <c r="H314" s="86"/>
      <c r="I314" s="86"/>
      <c r="J314" s="86"/>
      <c r="K314" s="86"/>
      <c r="L314" s="86"/>
      <c r="M314" s="86"/>
      <c r="N314" s="86"/>
      <c r="O314" s="86"/>
      <c r="P314" s="87"/>
      <c r="Q314" s="131"/>
      <c r="R314" s="35"/>
      <c r="W314" s="32">
        <f t="shared" si="56"/>
        <v>0</v>
      </c>
    </row>
    <row r="315" ht="15.6" hidden="1" customHeight="1">
      <c r="A315" s="28"/>
      <c r="B315" s="72"/>
      <c r="C315" s="11"/>
      <c r="D315" s="11"/>
      <c r="E315" s="12"/>
      <c r="F315" s="11" t="s">
        <v>27</v>
      </c>
      <c r="G315" s="85"/>
      <c r="H315" s="86"/>
      <c r="I315" s="86"/>
      <c r="J315" s="86"/>
      <c r="K315" s="86"/>
      <c r="L315" s="86"/>
      <c r="M315" s="86"/>
      <c r="N315" s="86"/>
      <c r="O315" s="86"/>
      <c r="P315" s="87"/>
      <c r="Q315" s="131"/>
      <c r="R315" s="35"/>
      <c r="W315" s="32">
        <f t="shared" si="56"/>
        <v>0</v>
      </c>
    </row>
    <row r="316" ht="15.6" hidden="1" customHeight="1">
      <c r="A316" s="28"/>
      <c r="B316" s="72"/>
      <c r="C316" s="11"/>
      <c r="D316" s="11"/>
      <c r="E316" s="14"/>
      <c r="F316" s="11" t="s">
        <v>28</v>
      </c>
      <c r="G316" s="85"/>
      <c r="H316" s="86"/>
      <c r="I316" s="86"/>
      <c r="J316" s="86"/>
      <c r="K316" s="86"/>
      <c r="L316" s="86"/>
      <c r="M316" s="86"/>
      <c r="N316" s="86"/>
      <c r="O316" s="86"/>
      <c r="P316" s="87"/>
      <c r="Q316" s="131"/>
      <c r="R316" s="35"/>
      <c r="W316" s="32">
        <f t="shared" si="56"/>
        <v>0</v>
      </c>
    </row>
    <row r="317" ht="27.600000000000001" hidden="1" customHeight="1">
      <c r="A317" s="28"/>
      <c r="B317" s="72"/>
      <c r="C317" s="11"/>
      <c r="D317" s="11"/>
      <c r="E317" s="16"/>
      <c r="F317" s="11" t="s">
        <v>29</v>
      </c>
      <c r="G317" s="88"/>
      <c r="H317" s="89"/>
      <c r="I317" s="89"/>
      <c r="J317" s="89"/>
      <c r="K317" s="89"/>
      <c r="L317" s="89"/>
      <c r="M317" s="89"/>
      <c r="N317" s="89"/>
      <c r="O317" s="89"/>
      <c r="P317" s="90"/>
      <c r="Q317" s="131"/>
      <c r="R317" s="35"/>
      <c r="W317" s="32">
        <f t="shared" si="56"/>
        <v>0</v>
      </c>
    </row>
    <row r="318" s="26" customFormat="1">
      <c r="A318" s="28"/>
      <c r="B318" s="72" t="s">
        <v>113</v>
      </c>
      <c r="C318" s="12" t="s">
        <v>69</v>
      </c>
      <c r="D318" s="12"/>
      <c r="E318" s="12"/>
      <c r="F318" s="11" t="s">
        <v>21</v>
      </c>
      <c r="G318" s="62">
        <f>SUM(G319:G324)</f>
        <v>700</v>
      </c>
      <c r="H318" s="62">
        <f>SUM(H319:H324)</f>
        <v>250</v>
      </c>
      <c r="I318" s="62">
        <f>SUM(I319:I324)</f>
        <v>450</v>
      </c>
      <c r="J318" s="62">
        <f>SUM(J319:J324)</f>
        <v>0</v>
      </c>
      <c r="K318" s="62">
        <f>SUM(K319:K324)</f>
        <v>0</v>
      </c>
      <c r="L318" s="62">
        <f>SUM(L319:L324)</f>
        <v>0</v>
      </c>
      <c r="M318" s="62">
        <f>SUM(M319:M324)</f>
        <v>0</v>
      </c>
      <c r="N318" s="62">
        <f>SUM(N319:N324)</f>
        <v>0</v>
      </c>
      <c r="O318" s="62">
        <f>SUM(O319:O324)</f>
        <v>250</v>
      </c>
      <c r="P318" s="62">
        <f>SUM(P319:P324)</f>
        <v>250</v>
      </c>
      <c r="Q318" s="131"/>
      <c r="R318" s="35"/>
      <c r="W318" s="32">
        <f t="shared" ref="W318:W381" si="70">I318-J318</f>
        <v>450</v>
      </c>
    </row>
    <row r="319" s="8" customFormat="1">
      <c r="A319" s="28"/>
      <c r="B319" s="72"/>
      <c r="C319" s="14"/>
      <c r="D319" s="14"/>
      <c r="E319" s="14"/>
      <c r="F319" s="11" t="s">
        <v>23</v>
      </c>
      <c r="G319" s="62">
        <f>I319+K319+M319+O319</f>
        <v>700</v>
      </c>
      <c r="H319" s="62">
        <f>J319+L319+N319+P319</f>
        <v>250</v>
      </c>
      <c r="I319" s="62">
        <f>450+J319</f>
        <v>450</v>
      </c>
      <c r="J319" s="62">
        <v>0</v>
      </c>
      <c r="K319" s="62">
        <v>0</v>
      </c>
      <c r="L319" s="62">
        <v>0</v>
      </c>
      <c r="M319" s="62">
        <v>0</v>
      </c>
      <c r="N319" s="62">
        <v>0</v>
      </c>
      <c r="O319" s="62">
        <v>250</v>
      </c>
      <c r="P319" s="62">
        <f>O319</f>
        <v>250</v>
      </c>
      <c r="Q319" s="131"/>
      <c r="R319" s="108"/>
      <c r="W319" s="32">
        <f t="shared" si="70"/>
        <v>450</v>
      </c>
    </row>
    <row r="320" ht="28.149999999999999" customHeight="1">
      <c r="A320" s="28"/>
      <c r="B320" s="72"/>
      <c r="C320" s="16"/>
      <c r="D320" s="16"/>
      <c r="E320" s="16"/>
      <c r="F320" s="11" t="s">
        <v>25</v>
      </c>
      <c r="G320" s="81" t="s">
        <v>112</v>
      </c>
      <c r="H320" s="82"/>
      <c r="I320" s="82"/>
      <c r="J320" s="82"/>
      <c r="K320" s="82"/>
      <c r="L320" s="82"/>
      <c r="M320" s="82"/>
      <c r="N320" s="82"/>
      <c r="O320" s="82"/>
      <c r="P320" s="83"/>
      <c r="Q320" s="131"/>
      <c r="R320" s="35"/>
      <c r="W320" s="32">
        <f t="shared" si="70"/>
        <v>0</v>
      </c>
    </row>
    <row r="321" ht="15.6" hidden="1" customHeight="1">
      <c r="A321" s="28"/>
      <c r="B321" s="72"/>
      <c r="C321" s="11"/>
      <c r="D321" s="11"/>
      <c r="E321" s="11"/>
      <c r="F321" s="11" t="s">
        <v>26</v>
      </c>
      <c r="G321" s="85"/>
      <c r="H321" s="86"/>
      <c r="I321" s="86"/>
      <c r="J321" s="86"/>
      <c r="K321" s="86"/>
      <c r="L321" s="86"/>
      <c r="M321" s="86"/>
      <c r="N321" s="86"/>
      <c r="O321" s="86"/>
      <c r="P321" s="87"/>
      <c r="Q321" s="131"/>
      <c r="R321" s="35"/>
      <c r="W321" s="32">
        <f t="shared" si="70"/>
        <v>0</v>
      </c>
    </row>
    <row r="322" ht="15.6" hidden="1" customHeight="1">
      <c r="A322" s="28"/>
      <c r="B322" s="72"/>
      <c r="C322" s="11"/>
      <c r="D322" s="11"/>
      <c r="E322" s="12"/>
      <c r="F322" s="11" t="s">
        <v>27</v>
      </c>
      <c r="G322" s="85"/>
      <c r="H322" s="86"/>
      <c r="I322" s="86"/>
      <c r="J322" s="86"/>
      <c r="K322" s="86"/>
      <c r="L322" s="86"/>
      <c r="M322" s="86"/>
      <c r="N322" s="86"/>
      <c r="O322" s="86"/>
      <c r="P322" s="87"/>
      <c r="Q322" s="131"/>
      <c r="R322" s="35"/>
      <c r="W322" s="32">
        <f t="shared" si="70"/>
        <v>0</v>
      </c>
    </row>
    <row r="323" ht="15.6" hidden="1" customHeight="1">
      <c r="A323" s="28"/>
      <c r="B323" s="72"/>
      <c r="C323" s="11"/>
      <c r="D323" s="11"/>
      <c r="E323" s="14"/>
      <c r="F323" s="11" t="s">
        <v>28</v>
      </c>
      <c r="G323" s="85"/>
      <c r="H323" s="86"/>
      <c r="I323" s="86"/>
      <c r="J323" s="86"/>
      <c r="K323" s="86"/>
      <c r="L323" s="86"/>
      <c r="M323" s="86"/>
      <c r="N323" s="86"/>
      <c r="O323" s="86"/>
      <c r="P323" s="87"/>
      <c r="Q323" s="131"/>
      <c r="R323" s="35"/>
      <c r="W323" s="32">
        <f t="shared" si="70"/>
        <v>0</v>
      </c>
    </row>
    <row r="324" ht="15.6" hidden="1" customHeight="1">
      <c r="A324" s="28"/>
      <c r="B324" s="72"/>
      <c r="C324" s="11"/>
      <c r="D324" s="11"/>
      <c r="E324" s="16"/>
      <c r="F324" s="11" t="s">
        <v>29</v>
      </c>
      <c r="G324" s="88"/>
      <c r="H324" s="89"/>
      <c r="I324" s="89"/>
      <c r="J324" s="89"/>
      <c r="K324" s="89"/>
      <c r="L324" s="89"/>
      <c r="M324" s="89"/>
      <c r="N324" s="89"/>
      <c r="O324" s="89"/>
      <c r="P324" s="90"/>
      <c r="Q324" s="131"/>
      <c r="R324" s="35"/>
      <c r="W324" s="32">
        <f t="shared" si="70"/>
        <v>0</v>
      </c>
    </row>
    <row r="325" s="26" customFormat="1">
      <c r="A325" s="28"/>
      <c r="B325" s="72" t="s">
        <v>114</v>
      </c>
      <c r="C325" s="12" t="s">
        <v>69</v>
      </c>
      <c r="D325" s="12"/>
      <c r="E325" s="12"/>
      <c r="F325" s="11" t="s">
        <v>21</v>
      </c>
      <c r="G325" s="62">
        <f>SUM(G326:G331)</f>
        <v>800</v>
      </c>
      <c r="H325" s="62">
        <f>SUM(H326:H331)</f>
        <v>0</v>
      </c>
      <c r="I325" s="62">
        <f>SUM(I326:I331)</f>
        <v>600</v>
      </c>
      <c r="J325" s="62">
        <f>SUM(J326:J331)</f>
        <v>0</v>
      </c>
      <c r="K325" s="62">
        <f>SUM(K326:K331)</f>
        <v>100</v>
      </c>
      <c r="L325" s="62">
        <f>SUM(L326:L331)</f>
        <v>0</v>
      </c>
      <c r="M325" s="62">
        <f>SUM(M326:M331)</f>
        <v>100</v>
      </c>
      <c r="N325" s="62">
        <f>SUM(N326:N331)</f>
        <v>0</v>
      </c>
      <c r="O325" s="62">
        <f>SUM(O326:O331)</f>
        <v>0</v>
      </c>
      <c r="P325" s="62">
        <f>SUM(P326:P331)</f>
        <v>0</v>
      </c>
      <c r="Q325" s="131"/>
      <c r="R325" s="35"/>
      <c r="W325" s="32">
        <f t="shared" si="70"/>
        <v>600</v>
      </c>
    </row>
    <row r="326" s="8" customFormat="1" ht="39" customHeight="1">
      <c r="A326" s="28"/>
      <c r="B326" s="72"/>
      <c r="C326" s="14"/>
      <c r="D326" s="14"/>
      <c r="E326" s="14"/>
      <c r="F326" s="11" t="s">
        <v>23</v>
      </c>
      <c r="G326" s="62">
        <f>I326+K326+M326+O326</f>
        <v>800</v>
      </c>
      <c r="H326" s="62">
        <f>J326+L326+N326+P326</f>
        <v>0</v>
      </c>
      <c r="I326" s="62">
        <f>600+J326</f>
        <v>600</v>
      </c>
      <c r="J326" s="62">
        <v>0</v>
      </c>
      <c r="K326" s="62">
        <v>100</v>
      </c>
      <c r="L326" s="62">
        <v>0</v>
      </c>
      <c r="M326" s="62">
        <v>100</v>
      </c>
      <c r="N326" s="62">
        <v>0</v>
      </c>
      <c r="O326" s="62">
        <v>0</v>
      </c>
      <c r="P326" s="62">
        <f>O326</f>
        <v>0</v>
      </c>
      <c r="Q326" s="131"/>
      <c r="R326" s="108"/>
      <c r="W326" s="32">
        <f t="shared" si="70"/>
        <v>600</v>
      </c>
    </row>
    <row r="327" ht="52.5" customHeight="1">
      <c r="A327" s="28"/>
      <c r="B327" s="72"/>
      <c r="C327" s="16"/>
      <c r="D327" s="16"/>
      <c r="E327" s="16"/>
      <c r="F327" s="11" t="s">
        <v>25</v>
      </c>
      <c r="G327" s="81" t="s">
        <v>115</v>
      </c>
      <c r="H327" s="82"/>
      <c r="I327" s="82"/>
      <c r="J327" s="82"/>
      <c r="K327" s="82"/>
      <c r="L327" s="82"/>
      <c r="M327" s="82"/>
      <c r="N327" s="82"/>
      <c r="O327" s="82"/>
      <c r="P327" s="83"/>
      <c r="Q327" s="131"/>
      <c r="R327" s="35"/>
      <c r="W327" s="32">
        <f t="shared" si="70"/>
        <v>0</v>
      </c>
    </row>
    <row r="328" ht="15.6" hidden="1" customHeight="1">
      <c r="A328" s="28"/>
      <c r="B328" s="72"/>
      <c r="C328" s="11"/>
      <c r="D328" s="11"/>
      <c r="E328" s="11"/>
      <c r="F328" s="11" t="s">
        <v>26</v>
      </c>
      <c r="G328" s="85"/>
      <c r="H328" s="86"/>
      <c r="I328" s="86"/>
      <c r="J328" s="86"/>
      <c r="K328" s="86"/>
      <c r="L328" s="86"/>
      <c r="M328" s="86"/>
      <c r="N328" s="86"/>
      <c r="O328" s="86"/>
      <c r="P328" s="87"/>
      <c r="Q328" s="131"/>
      <c r="R328" s="35"/>
      <c r="W328" s="32">
        <f t="shared" si="70"/>
        <v>0</v>
      </c>
    </row>
    <row r="329" ht="15.6" hidden="1" customHeight="1">
      <c r="A329" s="28"/>
      <c r="B329" s="72"/>
      <c r="C329" s="11"/>
      <c r="D329" s="11"/>
      <c r="E329" s="12"/>
      <c r="F329" s="11" t="s">
        <v>27</v>
      </c>
      <c r="G329" s="85"/>
      <c r="H329" s="86"/>
      <c r="I329" s="86"/>
      <c r="J329" s="86"/>
      <c r="K329" s="86"/>
      <c r="L329" s="86"/>
      <c r="M329" s="86"/>
      <c r="N329" s="86"/>
      <c r="O329" s="86"/>
      <c r="P329" s="87"/>
      <c r="Q329" s="131"/>
      <c r="R329" s="35"/>
      <c r="W329" s="32">
        <f t="shared" si="70"/>
        <v>0</v>
      </c>
    </row>
    <row r="330" ht="15.6" hidden="1" customHeight="1">
      <c r="A330" s="28"/>
      <c r="B330" s="72"/>
      <c r="C330" s="11"/>
      <c r="D330" s="11"/>
      <c r="E330" s="14"/>
      <c r="F330" s="11" t="s">
        <v>28</v>
      </c>
      <c r="G330" s="85"/>
      <c r="H330" s="86"/>
      <c r="I330" s="86"/>
      <c r="J330" s="86"/>
      <c r="K330" s="86"/>
      <c r="L330" s="86"/>
      <c r="M330" s="86"/>
      <c r="N330" s="86"/>
      <c r="O330" s="86"/>
      <c r="P330" s="87"/>
      <c r="Q330" s="131"/>
      <c r="R330" s="35"/>
      <c r="W330" s="32">
        <f t="shared" si="70"/>
        <v>0</v>
      </c>
    </row>
    <row r="331" ht="15.6" hidden="1" customHeight="1">
      <c r="A331" s="28"/>
      <c r="B331" s="72"/>
      <c r="C331" s="11"/>
      <c r="D331" s="11"/>
      <c r="E331" s="16"/>
      <c r="F331" s="11" t="s">
        <v>29</v>
      </c>
      <c r="G331" s="88"/>
      <c r="H331" s="89"/>
      <c r="I331" s="89"/>
      <c r="J331" s="89"/>
      <c r="K331" s="89"/>
      <c r="L331" s="89"/>
      <c r="M331" s="89"/>
      <c r="N331" s="89"/>
      <c r="O331" s="89"/>
      <c r="P331" s="90"/>
      <c r="Q331" s="131"/>
      <c r="R331" s="35"/>
      <c r="W331" s="32">
        <f t="shared" si="70"/>
        <v>0</v>
      </c>
    </row>
    <row r="332" s="26" customFormat="1">
      <c r="A332" s="28"/>
      <c r="B332" s="72" t="s">
        <v>116</v>
      </c>
      <c r="C332" s="12" t="s">
        <v>69</v>
      </c>
      <c r="D332" s="12"/>
      <c r="E332" s="12"/>
      <c r="F332" s="11" t="s">
        <v>21</v>
      </c>
      <c r="G332" s="62">
        <f>SUM(G333:G338)</f>
        <v>1940</v>
      </c>
      <c r="H332" s="62">
        <f>SUM(H333:H338)</f>
        <v>940</v>
      </c>
      <c r="I332" s="62">
        <f>SUM(I333:I338)</f>
        <v>1690</v>
      </c>
      <c r="J332" s="62">
        <f>SUM(J333:J338)</f>
        <v>890</v>
      </c>
      <c r="K332" s="62">
        <f>SUM(K333:K338)</f>
        <v>0</v>
      </c>
      <c r="L332" s="62">
        <f>SUM(L333:L338)</f>
        <v>0</v>
      </c>
      <c r="M332" s="62">
        <f>SUM(M333:M338)</f>
        <v>200</v>
      </c>
      <c r="N332" s="62">
        <f>SUM(N333:N338)</f>
        <v>0</v>
      </c>
      <c r="O332" s="62">
        <f>SUM(O333:O338)</f>
        <v>50</v>
      </c>
      <c r="P332" s="62">
        <f>SUM(P333:P338)</f>
        <v>50</v>
      </c>
      <c r="Q332" s="131"/>
      <c r="R332" s="35"/>
      <c r="W332" s="32">
        <f t="shared" si="70"/>
        <v>800</v>
      </c>
    </row>
    <row r="333" s="8" customFormat="1" ht="24" customHeight="1">
      <c r="A333" s="28"/>
      <c r="B333" s="72"/>
      <c r="C333" s="14"/>
      <c r="D333" s="14"/>
      <c r="E333" s="14"/>
      <c r="F333" s="11" t="s">
        <v>23</v>
      </c>
      <c r="G333" s="62">
        <f>I333+K333+M333+O333</f>
        <v>1940</v>
      </c>
      <c r="H333" s="62">
        <f>J333+L333+N333+P333</f>
        <v>940</v>
      </c>
      <c r="I333" s="62">
        <f>800+J333</f>
        <v>1690</v>
      </c>
      <c r="J333" s="62">
        <f>890</f>
        <v>890</v>
      </c>
      <c r="K333" s="62">
        <v>0</v>
      </c>
      <c r="L333" s="62">
        <v>0</v>
      </c>
      <c r="M333" s="62">
        <f>200</f>
        <v>200</v>
      </c>
      <c r="N333" s="62">
        <v>0</v>
      </c>
      <c r="O333" s="62">
        <v>50</v>
      </c>
      <c r="P333" s="62">
        <v>50</v>
      </c>
      <c r="Q333" s="131"/>
      <c r="R333" s="108"/>
      <c r="W333" s="32">
        <f t="shared" si="70"/>
        <v>800</v>
      </c>
    </row>
    <row r="334" ht="40.5" customHeight="1">
      <c r="A334" s="28"/>
      <c r="B334" s="72"/>
      <c r="C334" s="16"/>
      <c r="D334" s="16"/>
      <c r="E334" s="16"/>
      <c r="F334" s="11" t="s">
        <v>25</v>
      </c>
      <c r="G334" s="81" t="s">
        <v>115</v>
      </c>
      <c r="H334" s="82"/>
      <c r="I334" s="82"/>
      <c r="J334" s="82"/>
      <c r="K334" s="82"/>
      <c r="L334" s="82"/>
      <c r="M334" s="82"/>
      <c r="N334" s="82"/>
      <c r="O334" s="82"/>
      <c r="P334" s="83"/>
      <c r="Q334" s="131"/>
      <c r="R334" s="35"/>
      <c r="W334" s="32">
        <f t="shared" si="70"/>
        <v>0</v>
      </c>
    </row>
    <row r="335" ht="15.6" hidden="1" customHeight="1">
      <c r="A335" s="28"/>
      <c r="B335" s="72"/>
      <c r="C335" s="11"/>
      <c r="D335" s="11"/>
      <c r="E335" s="11"/>
      <c r="F335" s="11" t="s">
        <v>26</v>
      </c>
      <c r="G335" s="85"/>
      <c r="H335" s="86"/>
      <c r="I335" s="86"/>
      <c r="J335" s="86"/>
      <c r="K335" s="86"/>
      <c r="L335" s="86"/>
      <c r="M335" s="86"/>
      <c r="N335" s="86"/>
      <c r="O335" s="86"/>
      <c r="P335" s="87"/>
      <c r="Q335" s="131"/>
      <c r="R335" s="35"/>
      <c r="W335" s="32">
        <f t="shared" si="70"/>
        <v>0</v>
      </c>
    </row>
    <row r="336" ht="15.6" hidden="1" customHeight="1">
      <c r="A336" s="28"/>
      <c r="B336" s="72"/>
      <c r="C336" s="11"/>
      <c r="D336" s="11"/>
      <c r="E336" s="12"/>
      <c r="F336" s="11" t="s">
        <v>27</v>
      </c>
      <c r="G336" s="85"/>
      <c r="H336" s="86"/>
      <c r="I336" s="86"/>
      <c r="J336" s="86"/>
      <c r="K336" s="86"/>
      <c r="L336" s="86"/>
      <c r="M336" s="86"/>
      <c r="N336" s="86"/>
      <c r="O336" s="86"/>
      <c r="P336" s="87"/>
      <c r="Q336" s="131"/>
      <c r="R336" s="35"/>
      <c r="W336" s="32">
        <f t="shared" si="70"/>
        <v>0</v>
      </c>
    </row>
    <row r="337" ht="15.6" hidden="1" customHeight="1">
      <c r="A337" s="28"/>
      <c r="B337" s="72"/>
      <c r="C337" s="11"/>
      <c r="D337" s="11"/>
      <c r="E337" s="14"/>
      <c r="F337" s="11" t="s">
        <v>28</v>
      </c>
      <c r="G337" s="85"/>
      <c r="H337" s="86"/>
      <c r="I337" s="86"/>
      <c r="J337" s="86"/>
      <c r="K337" s="86"/>
      <c r="L337" s="86"/>
      <c r="M337" s="86"/>
      <c r="N337" s="86"/>
      <c r="O337" s="86"/>
      <c r="P337" s="87"/>
      <c r="Q337" s="131"/>
      <c r="R337" s="35"/>
      <c r="W337" s="32">
        <f t="shared" si="70"/>
        <v>0</v>
      </c>
    </row>
    <row r="338" ht="15.6" hidden="1" customHeight="1">
      <c r="A338" s="28"/>
      <c r="B338" s="72"/>
      <c r="C338" s="11"/>
      <c r="D338" s="11"/>
      <c r="E338" s="16"/>
      <c r="F338" s="11" t="s">
        <v>29</v>
      </c>
      <c r="G338" s="88"/>
      <c r="H338" s="89"/>
      <c r="I338" s="89"/>
      <c r="J338" s="89"/>
      <c r="K338" s="89"/>
      <c r="L338" s="89"/>
      <c r="M338" s="89"/>
      <c r="N338" s="89"/>
      <c r="O338" s="89"/>
      <c r="P338" s="90"/>
      <c r="Q338" s="131"/>
      <c r="R338" s="35"/>
      <c r="W338" s="32">
        <f t="shared" si="70"/>
        <v>0</v>
      </c>
    </row>
    <row r="339" s="26" customFormat="1">
      <c r="A339" s="28"/>
      <c r="B339" s="130" t="s">
        <v>117</v>
      </c>
      <c r="C339" s="92"/>
      <c r="D339" s="93" t="s">
        <v>55</v>
      </c>
      <c r="E339" s="12" t="s">
        <v>93</v>
      </c>
      <c r="F339" s="11" t="s">
        <v>21</v>
      </c>
      <c r="G339" s="62">
        <f>SUM(G340:G350)</f>
        <v>11133.4</v>
      </c>
      <c r="H339" s="62">
        <f>SUM(H340:H350)</f>
        <v>2479.5</v>
      </c>
      <c r="I339" s="62">
        <f>SUM(I340:I350)</f>
        <v>11058.200000000001</v>
      </c>
      <c r="J339" s="62">
        <f>SUM(J340:J350)</f>
        <v>2404.3000000000002</v>
      </c>
      <c r="K339" s="62">
        <f>SUM(K340:K350)</f>
        <v>0</v>
      </c>
      <c r="L339" s="62">
        <f>SUM(L340:L350)</f>
        <v>0</v>
      </c>
      <c r="M339" s="62">
        <f>SUM(M340:M350)</f>
        <v>0</v>
      </c>
      <c r="N339" s="62">
        <f>SUM(N340:N350)</f>
        <v>0</v>
      </c>
      <c r="O339" s="62">
        <f>SUM(O340:O350)</f>
        <v>75.200000000000003</v>
      </c>
      <c r="P339" s="62">
        <f>SUM(P340:P350)</f>
        <v>75.200000000000003</v>
      </c>
      <c r="Q339" s="131"/>
      <c r="R339" s="35"/>
      <c r="W339" s="32">
        <f t="shared" si="70"/>
        <v>8653.9000000000015</v>
      </c>
    </row>
    <row r="340" s="8" customFormat="1">
      <c r="A340" s="28"/>
      <c r="B340" s="130"/>
      <c r="C340" s="96" t="s">
        <v>58</v>
      </c>
      <c r="D340" s="95"/>
      <c r="E340" s="14"/>
      <c r="F340" s="11" t="s">
        <v>23</v>
      </c>
      <c r="G340" s="62">
        <f>I340+K340+M340+O340</f>
        <v>362.10000000000002</v>
      </c>
      <c r="H340" s="62">
        <f>J340+L340+N340+P340</f>
        <v>248</v>
      </c>
      <c r="I340" s="62">
        <v>314.10000000000002</v>
      </c>
      <c r="J340" s="62">
        <v>200</v>
      </c>
      <c r="K340" s="62"/>
      <c r="L340" s="62">
        <v>0</v>
      </c>
      <c r="M340" s="62">
        <v>0</v>
      </c>
      <c r="N340" s="62">
        <v>0</v>
      </c>
      <c r="O340" s="62">
        <v>48</v>
      </c>
      <c r="P340" s="62">
        <f>O340</f>
        <v>48</v>
      </c>
      <c r="Q340" s="131"/>
      <c r="R340" s="108"/>
      <c r="W340" s="32">
        <f t="shared" si="70"/>
        <v>114.10000000000002</v>
      </c>
    </row>
    <row r="341" ht="15.6" customHeight="1">
      <c r="A341" s="28"/>
      <c r="B341" s="130"/>
      <c r="C341" s="95" t="s">
        <v>118</v>
      </c>
      <c r="D341" s="95"/>
      <c r="E341" s="14"/>
      <c r="F341" s="11" t="s">
        <v>25</v>
      </c>
      <c r="G341" s="62">
        <f>I341+K341+M341+O341</f>
        <v>1470.4000000000001</v>
      </c>
      <c r="H341" s="62">
        <f>J341+L341+N341+P341</f>
        <v>314.10000000000002</v>
      </c>
      <c r="I341" s="62">
        <f>314.10000000000002+1156.3</f>
        <v>1470.4000000000001</v>
      </c>
      <c r="J341" s="62">
        <v>314.10000000000002</v>
      </c>
      <c r="K341" s="62">
        <v>0</v>
      </c>
      <c r="L341" s="62">
        <v>0</v>
      </c>
      <c r="M341" s="62">
        <f t="shared" ref="M341:M345" si="71">1.2*M340</f>
        <v>0</v>
      </c>
      <c r="N341" s="62">
        <v>0</v>
      </c>
      <c r="O341" s="62">
        <v>0</v>
      </c>
      <c r="P341" s="62">
        <v>0</v>
      </c>
      <c r="Q341" s="131"/>
      <c r="R341" s="108"/>
      <c r="W341" s="32">
        <f t="shared" si="70"/>
        <v>1156.3000000000002</v>
      </c>
    </row>
    <row r="342" ht="15.6" customHeight="1">
      <c r="A342" s="28"/>
      <c r="B342" s="130"/>
      <c r="C342" s="95"/>
      <c r="D342" s="95"/>
      <c r="E342" s="14"/>
      <c r="F342" s="11" t="s">
        <v>26</v>
      </c>
      <c r="G342" s="62">
        <f>I342+K342+M342+O342</f>
        <v>314.10000000000002</v>
      </c>
      <c r="H342" s="62">
        <f>J342+L342+N342+P342</f>
        <v>314.10000000000002</v>
      </c>
      <c r="I342" s="62">
        <f>J342</f>
        <v>314.10000000000002</v>
      </c>
      <c r="J342" s="62">
        <v>314.10000000000002</v>
      </c>
      <c r="K342" s="62">
        <v>0</v>
      </c>
      <c r="L342" s="62">
        <v>0</v>
      </c>
      <c r="M342" s="62">
        <f t="shared" si="71"/>
        <v>0</v>
      </c>
      <c r="N342" s="62">
        <v>0</v>
      </c>
      <c r="O342" s="62">
        <v>0</v>
      </c>
      <c r="P342" s="62">
        <v>0</v>
      </c>
      <c r="Q342" s="131"/>
      <c r="R342" s="35"/>
      <c r="W342" s="32">
        <f t="shared" si="70"/>
        <v>0</v>
      </c>
    </row>
    <row r="343" ht="15.75">
      <c r="A343" s="28"/>
      <c r="B343" s="130"/>
      <c r="C343" s="95"/>
      <c r="D343" s="95"/>
      <c r="E343" s="14"/>
      <c r="F343" s="11" t="s">
        <v>27</v>
      </c>
      <c r="G343" s="62">
        <f>I343+K343+M343+O343</f>
        <v>314.10000000000002</v>
      </c>
      <c r="H343" s="62">
        <f>J343+L343+N343+P343</f>
        <v>0</v>
      </c>
      <c r="I343" s="62">
        <f t="shared" ref="I343:I350" si="72">I342</f>
        <v>314.10000000000002</v>
      </c>
      <c r="J343" s="62">
        <f>314.10000000000002-314.10000000000002</f>
        <v>0</v>
      </c>
      <c r="K343" s="62">
        <v>0</v>
      </c>
      <c r="L343" s="62">
        <v>0</v>
      </c>
      <c r="M343" s="62">
        <f t="shared" si="71"/>
        <v>0</v>
      </c>
      <c r="N343" s="62">
        <v>0</v>
      </c>
      <c r="O343" s="62">
        <v>0</v>
      </c>
      <c r="P343" s="62">
        <v>0</v>
      </c>
      <c r="Q343" s="131"/>
      <c r="R343" s="35"/>
      <c r="W343" s="32">
        <f t="shared" si="70"/>
        <v>314.10000000000002</v>
      </c>
    </row>
    <row r="344" ht="15.75">
      <c r="A344" s="28"/>
      <c r="B344" s="130"/>
      <c r="C344" s="95"/>
      <c r="D344" s="95"/>
      <c r="E344" s="14"/>
      <c r="F344" s="11" t="s">
        <v>28</v>
      </c>
      <c r="G344" s="62">
        <f>I344+K344+M344+O344</f>
        <v>329.5</v>
      </c>
      <c r="H344" s="62">
        <f>J344+L344+N344+P344</f>
        <v>329.5</v>
      </c>
      <c r="I344" s="62">
        <f t="shared" si="72"/>
        <v>314.10000000000002</v>
      </c>
      <c r="J344" s="62">
        <v>314.10000000000002</v>
      </c>
      <c r="K344" s="62">
        <v>0</v>
      </c>
      <c r="L344" s="62">
        <v>0</v>
      </c>
      <c r="M344" s="62">
        <f t="shared" si="71"/>
        <v>0</v>
      </c>
      <c r="N344" s="62">
        <v>0</v>
      </c>
      <c r="O344" s="62">
        <v>15.4</v>
      </c>
      <c r="P344" s="62">
        <v>15.4</v>
      </c>
      <c r="Q344" s="131"/>
      <c r="R344" s="35"/>
      <c r="W344" s="32">
        <f t="shared" si="70"/>
        <v>0</v>
      </c>
    </row>
    <row r="345" ht="15.75">
      <c r="A345" s="28"/>
      <c r="B345" s="130"/>
      <c r="C345" s="95"/>
      <c r="D345" s="95"/>
      <c r="E345" s="14"/>
      <c r="F345" s="11" t="s">
        <v>29</v>
      </c>
      <c r="G345" s="62">
        <f>I345+K345+M345+O345</f>
        <v>705.70000000000005</v>
      </c>
      <c r="H345" s="62">
        <f>J345+L345+N345+P345</f>
        <v>342</v>
      </c>
      <c r="I345" s="62">
        <f>I344+141.6+250</f>
        <v>705.70000000000005</v>
      </c>
      <c r="J345" s="62">
        <v>342</v>
      </c>
      <c r="K345" s="62">
        <v>0</v>
      </c>
      <c r="L345" s="62">
        <v>0</v>
      </c>
      <c r="M345" s="62">
        <f t="shared" si="71"/>
        <v>0</v>
      </c>
      <c r="N345" s="62">
        <v>0</v>
      </c>
      <c r="O345" s="62">
        <v>0</v>
      </c>
      <c r="P345" s="62">
        <v>0</v>
      </c>
      <c r="Q345" s="131"/>
      <c r="R345" s="75"/>
      <c r="W345" s="32">
        <f t="shared" si="70"/>
        <v>363.70000000000005</v>
      </c>
    </row>
    <row r="346" ht="15.75">
      <c r="A346" s="28"/>
      <c r="B346" s="130"/>
      <c r="C346" s="95"/>
      <c r="D346" s="95"/>
      <c r="E346" s="14"/>
      <c r="F346" s="11" t="s">
        <v>30</v>
      </c>
      <c r="G346" s="62">
        <f>I346+K346+M346+O346</f>
        <v>717.5</v>
      </c>
      <c r="H346" s="62">
        <f>J346+L346+N346+P346</f>
        <v>241.80000000000001</v>
      </c>
      <c r="I346" s="62">
        <f t="shared" si="72"/>
        <v>705.70000000000005</v>
      </c>
      <c r="J346" s="62">
        <v>230</v>
      </c>
      <c r="K346" s="62">
        <v>0</v>
      </c>
      <c r="L346" s="62">
        <v>0</v>
      </c>
      <c r="M346" s="62">
        <v>0</v>
      </c>
      <c r="N346" s="62">
        <v>0</v>
      </c>
      <c r="O346" s="62">
        <v>11.800000000000001</v>
      </c>
      <c r="P346" s="62">
        <v>11.800000000000001</v>
      </c>
      <c r="Q346" s="131"/>
      <c r="R346" s="35"/>
      <c r="W346" s="32">
        <f t="shared" si="70"/>
        <v>475.70000000000005</v>
      </c>
    </row>
    <row r="347" ht="15.75">
      <c r="A347" s="28"/>
      <c r="B347" s="130"/>
      <c r="C347" s="95"/>
      <c r="D347" s="95"/>
      <c r="E347" s="14"/>
      <c r="F347" s="11" t="s">
        <v>31</v>
      </c>
      <c r="G347" s="62">
        <f>I347+K347+M347+O347</f>
        <v>1730</v>
      </c>
      <c r="H347" s="62">
        <f>J347+L347+N347+P347</f>
        <v>230</v>
      </c>
      <c r="I347" s="62">
        <f>1000+500+230</f>
        <v>1730</v>
      </c>
      <c r="J347" s="62">
        <v>230</v>
      </c>
      <c r="K347" s="62">
        <v>0</v>
      </c>
      <c r="L347" s="62">
        <v>0</v>
      </c>
      <c r="M347" s="62">
        <v>0</v>
      </c>
      <c r="N347" s="62">
        <v>0</v>
      </c>
      <c r="O347" s="62">
        <f>P347</f>
        <v>0</v>
      </c>
      <c r="P347" s="62">
        <v>0</v>
      </c>
      <c r="Q347" s="131"/>
      <c r="R347" s="35"/>
      <c r="W347" s="32">
        <f t="shared" si="70"/>
        <v>1500</v>
      </c>
    </row>
    <row r="348" ht="15.75">
      <c r="A348" s="28"/>
      <c r="B348" s="130"/>
      <c r="C348" s="95"/>
      <c r="D348" s="95"/>
      <c r="E348" s="14"/>
      <c r="F348" s="11" t="s">
        <v>32</v>
      </c>
      <c r="G348" s="62">
        <f>I348+K348+M348+O348</f>
        <v>1730</v>
      </c>
      <c r="H348" s="62">
        <f>J348+L348+N348+P348</f>
        <v>230</v>
      </c>
      <c r="I348" s="62">
        <f t="shared" si="72"/>
        <v>1730</v>
      </c>
      <c r="J348" s="62">
        <v>230</v>
      </c>
      <c r="K348" s="62">
        <v>0</v>
      </c>
      <c r="L348" s="62">
        <v>0</v>
      </c>
      <c r="M348" s="62">
        <v>0</v>
      </c>
      <c r="N348" s="62">
        <v>0</v>
      </c>
      <c r="O348" s="62">
        <v>0</v>
      </c>
      <c r="P348" s="62">
        <v>0</v>
      </c>
      <c r="Q348" s="131"/>
      <c r="R348" s="35"/>
      <c r="W348" s="32">
        <f t="shared" si="70"/>
        <v>1500</v>
      </c>
    </row>
    <row r="349" ht="15.75">
      <c r="A349" s="28"/>
      <c r="B349" s="130"/>
      <c r="C349" s="95"/>
      <c r="D349" s="95"/>
      <c r="E349" s="14"/>
      <c r="F349" s="11" t="s">
        <v>33</v>
      </c>
      <c r="G349" s="62">
        <f>I349+K349+M349+O349</f>
        <v>1730</v>
      </c>
      <c r="H349" s="62">
        <f>J349+L349+N349+P349</f>
        <v>230</v>
      </c>
      <c r="I349" s="62">
        <f t="shared" si="72"/>
        <v>1730</v>
      </c>
      <c r="J349" s="62">
        <v>230</v>
      </c>
      <c r="K349" s="62">
        <v>0</v>
      </c>
      <c r="L349" s="62">
        <v>0</v>
      </c>
      <c r="M349" s="62">
        <v>0</v>
      </c>
      <c r="N349" s="62">
        <v>0</v>
      </c>
      <c r="O349" s="62">
        <v>0</v>
      </c>
      <c r="P349" s="62">
        <v>0</v>
      </c>
      <c r="Q349" s="131"/>
      <c r="R349" s="35"/>
      <c r="W349" s="32">
        <f t="shared" si="70"/>
        <v>1500</v>
      </c>
    </row>
    <row r="350" ht="15.75">
      <c r="A350" s="49"/>
      <c r="B350" s="130"/>
      <c r="C350" s="98"/>
      <c r="D350" s="98"/>
      <c r="E350" s="16"/>
      <c r="F350" s="11" t="s">
        <v>34</v>
      </c>
      <c r="G350" s="62">
        <f>I350+K350+M350+O350</f>
        <v>1730</v>
      </c>
      <c r="H350" s="62">
        <f>J350+L350+N350+P350</f>
        <v>0</v>
      </c>
      <c r="I350" s="62">
        <f t="shared" si="72"/>
        <v>1730</v>
      </c>
      <c r="J350" s="62">
        <v>0</v>
      </c>
      <c r="K350" s="62">
        <v>0</v>
      </c>
      <c r="L350" s="62">
        <v>0</v>
      </c>
      <c r="M350" s="62">
        <v>0</v>
      </c>
      <c r="N350" s="62">
        <v>0</v>
      </c>
      <c r="O350" s="62">
        <v>0</v>
      </c>
      <c r="P350" s="62">
        <v>0</v>
      </c>
      <c r="Q350" s="131"/>
      <c r="R350" s="35"/>
      <c r="W350" s="32">
        <f t="shared" si="70"/>
        <v>1730</v>
      </c>
    </row>
    <row r="351" s="26" customFormat="1" ht="15.75" customHeight="1">
      <c r="A351" s="22"/>
      <c r="B351" s="94" t="s">
        <v>119</v>
      </c>
      <c r="C351" s="12"/>
      <c r="D351" s="12" t="s">
        <v>47</v>
      </c>
      <c r="E351" s="12" t="s">
        <v>120</v>
      </c>
      <c r="F351" s="11" t="s">
        <v>21</v>
      </c>
      <c r="G351" s="62">
        <f>SUM(G352:G362)</f>
        <v>17822.250000000004</v>
      </c>
      <c r="H351" s="62">
        <f>SUM(H352:H362)</f>
        <v>15827.550000000003</v>
      </c>
      <c r="I351" s="62">
        <f>SUM(I352:I362)</f>
        <v>17822.250000000004</v>
      </c>
      <c r="J351" s="62">
        <f>SUM(J352:J362)</f>
        <v>15827.550000000003</v>
      </c>
      <c r="K351" s="62">
        <f>SUM(K352:K362)</f>
        <v>0</v>
      </c>
      <c r="L351" s="62">
        <f>SUM(L352:L362)</f>
        <v>0</v>
      </c>
      <c r="M351" s="62">
        <f>SUM(M352:M362)</f>
        <v>0</v>
      </c>
      <c r="N351" s="62">
        <f>SUM(N352:N362)</f>
        <v>0</v>
      </c>
      <c r="O351" s="62">
        <f>SUM(O352:O362)</f>
        <v>0</v>
      </c>
      <c r="P351" s="62">
        <f>SUM(P352:P362)</f>
        <v>0</v>
      </c>
      <c r="Q351" s="131" t="s">
        <v>121</v>
      </c>
      <c r="R351" s="35"/>
      <c r="W351" s="32">
        <f t="shared" si="70"/>
        <v>1994.7000000000007</v>
      </c>
    </row>
    <row r="352" s="8" customFormat="1" ht="15.6" customHeight="1">
      <c r="A352" s="28"/>
      <c r="B352" s="94"/>
      <c r="C352" s="14"/>
      <c r="D352" s="14"/>
      <c r="E352" s="14"/>
      <c r="F352" s="11" t="s">
        <v>23</v>
      </c>
      <c r="G352" s="62">
        <f t="shared" ref="G352:G362" si="73">I352+K352+M352+O352</f>
        <v>0</v>
      </c>
      <c r="H352" s="62">
        <f t="shared" ref="H352:H362" si="74">J352+L352+N352+P352</f>
        <v>0</v>
      </c>
      <c r="I352" s="62">
        <v>0</v>
      </c>
      <c r="J352" s="62">
        <v>0</v>
      </c>
      <c r="K352" s="62">
        <v>0</v>
      </c>
      <c r="L352" s="62">
        <v>0</v>
      </c>
      <c r="M352" s="62">
        <v>0</v>
      </c>
      <c r="N352" s="62">
        <v>0</v>
      </c>
      <c r="O352" s="62">
        <v>0</v>
      </c>
      <c r="P352" s="62">
        <v>0</v>
      </c>
      <c r="Q352" s="131"/>
      <c r="R352" s="108"/>
      <c r="W352" s="32">
        <f t="shared" si="70"/>
        <v>0</v>
      </c>
    </row>
    <row r="353" ht="15.75">
      <c r="A353" s="28"/>
      <c r="B353" s="94"/>
      <c r="C353" s="14"/>
      <c r="D353" s="14"/>
      <c r="E353" s="14"/>
      <c r="F353" s="11" t="s">
        <v>25</v>
      </c>
      <c r="G353" s="62">
        <f t="shared" si="73"/>
        <v>0</v>
      </c>
      <c r="H353" s="62">
        <f t="shared" si="74"/>
        <v>0</v>
      </c>
      <c r="I353" s="62">
        <v>0</v>
      </c>
      <c r="J353" s="62">
        <v>0</v>
      </c>
      <c r="K353" s="62">
        <v>0</v>
      </c>
      <c r="L353" s="62">
        <v>0</v>
      </c>
      <c r="M353" s="62">
        <v>0</v>
      </c>
      <c r="N353" s="62">
        <v>0</v>
      </c>
      <c r="O353" s="62">
        <v>0</v>
      </c>
      <c r="P353" s="62">
        <v>0</v>
      </c>
      <c r="Q353" s="131"/>
      <c r="R353" s="35"/>
      <c r="W353" s="32">
        <f t="shared" si="70"/>
        <v>0</v>
      </c>
    </row>
    <row r="354" ht="15" customHeight="1">
      <c r="A354" s="28"/>
      <c r="B354" s="94"/>
      <c r="C354" s="16"/>
      <c r="D354" s="14"/>
      <c r="E354" s="14"/>
      <c r="F354" s="11" t="s">
        <v>26</v>
      </c>
      <c r="G354" s="62">
        <f t="shared" si="73"/>
        <v>0</v>
      </c>
      <c r="H354" s="62">
        <f t="shared" si="74"/>
        <v>0</v>
      </c>
      <c r="I354" s="62">
        <v>0</v>
      </c>
      <c r="J354" s="62">
        <v>0</v>
      </c>
      <c r="K354" s="62">
        <v>0</v>
      </c>
      <c r="L354" s="62">
        <v>0</v>
      </c>
      <c r="M354" s="62">
        <v>0</v>
      </c>
      <c r="N354" s="62">
        <v>0</v>
      </c>
      <c r="O354" s="62">
        <v>0</v>
      </c>
      <c r="P354" s="62">
        <v>0</v>
      </c>
      <c r="Q354" s="131"/>
      <c r="R354" s="35"/>
      <c r="W354" s="32">
        <f t="shared" si="70"/>
        <v>0</v>
      </c>
    </row>
    <row r="355" ht="15.75">
      <c r="A355" s="28"/>
      <c r="B355" s="94"/>
      <c r="C355" s="11" t="s">
        <v>122</v>
      </c>
      <c r="D355" s="14"/>
      <c r="E355" s="14"/>
      <c r="F355" s="11" t="s">
        <v>27</v>
      </c>
      <c r="G355" s="62">
        <f t="shared" si="73"/>
        <v>2297.5999999999999</v>
      </c>
      <c r="H355" s="62">
        <f t="shared" si="74"/>
        <v>2297.5999999999999</v>
      </c>
      <c r="I355" s="62">
        <v>2297.5999999999999</v>
      </c>
      <c r="J355" s="62">
        <f>I355</f>
        <v>2297.5999999999999</v>
      </c>
      <c r="K355" s="62">
        <v>0</v>
      </c>
      <c r="L355" s="62">
        <v>0</v>
      </c>
      <c r="M355" s="62">
        <f t="shared" ref="M355:M357" si="75">M354</f>
        <v>0</v>
      </c>
      <c r="N355" s="62">
        <v>0</v>
      </c>
      <c r="O355" s="62">
        <v>0</v>
      </c>
      <c r="P355" s="62">
        <v>0</v>
      </c>
      <c r="Q355" s="131"/>
      <c r="R355" s="35"/>
      <c r="W355" s="32">
        <f t="shared" si="70"/>
        <v>0</v>
      </c>
    </row>
    <row r="356" ht="15.75">
      <c r="A356" s="28"/>
      <c r="B356" s="94"/>
      <c r="C356" s="11"/>
      <c r="D356" s="14"/>
      <c r="E356" s="14"/>
      <c r="F356" s="11" t="s">
        <v>28</v>
      </c>
      <c r="G356" s="62">
        <f t="shared" si="73"/>
        <v>2660.5</v>
      </c>
      <c r="H356" s="62">
        <f t="shared" si="74"/>
        <v>2660.5</v>
      </c>
      <c r="I356" s="62">
        <f t="shared" ref="I356:I359" si="76">J356</f>
        <v>2660.5</v>
      </c>
      <c r="J356" s="62">
        <v>2660.5</v>
      </c>
      <c r="K356" s="62">
        <v>0</v>
      </c>
      <c r="L356" s="62">
        <v>0</v>
      </c>
      <c r="M356" s="62">
        <f t="shared" si="75"/>
        <v>0</v>
      </c>
      <c r="N356" s="62">
        <v>0</v>
      </c>
      <c r="O356" s="62">
        <v>0</v>
      </c>
      <c r="P356" s="62">
        <v>0</v>
      </c>
      <c r="Q356" s="131"/>
      <c r="R356" s="35"/>
      <c r="W356" s="32">
        <f t="shared" si="70"/>
        <v>0</v>
      </c>
      <c r="Y356" s="74"/>
    </row>
    <row r="357" ht="15.75">
      <c r="A357" s="28"/>
      <c r="B357" s="94"/>
      <c r="C357" s="11"/>
      <c r="D357" s="14"/>
      <c r="E357" s="14"/>
      <c r="F357" s="11" t="s">
        <v>29</v>
      </c>
      <c r="G357" s="62">
        <f t="shared" si="73"/>
        <v>2220.25</v>
      </c>
      <c r="H357" s="62">
        <f t="shared" si="74"/>
        <v>2220.25</v>
      </c>
      <c r="I357" s="62">
        <f t="shared" si="76"/>
        <v>2220.25</v>
      </c>
      <c r="J357" s="62">
        <v>2220.25</v>
      </c>
      <c r="K357" s="62">
        <v>0</v>
      </c>
      <c r="L357" s="62">
        <v>0</v>
      </c>
      <c r="M357" s="62">
        <f t="shared" si="75"/>
        <v>0</v>
      </c>
      <c r="N357" s="62">
        <v>0</v>
      </c>
      <c r="O357" s="62">
        <v>0</v>
      </c>
      <c r="P357" s="62">
        <v>0</v>
      </c>
      <c r="Q357" s="131"/>
      <c r="R357" s="35"/>
      <c r="W357" s="32">
        <f t="shared" si="70"/>
        <v>0</v>
      </c>
    </row>
    <row r="358" ht="15.75">
      <c r="A358" s="28"/>
      <c r="B358" s="94"/>
      <c r="C358" s="11"/>
      <c r="D358" s="14"/>
      <c r="E358" s="14"/>
      <c r="F358" s="11" t="s">
        <v>30</v>
      </c>
      <c r="G358" s="62">
        <f t="shared" si="73"/>
        <v>2672.0999999999999</v>
      </c>
      <c r="H358" s="62">
        <f t="shared" si="74"/>
        <v>2672.0999999999999</v>
      </c>
      <c r="I358" s="62">
        <v>2672.0999999999999</v>
      </c>
      <c r="J358" s="62">
        <f>I358</f>
        <v>2672.0999999999999</v>
      </c>
      <c r="K358" s="62">
        <v>0</v>
      </c>
      <c r="L358" s="62">
        <v>0</v>
      </c>
      <c r="M358" s="62">
        <v>0</v>
      </c>
      <c r="N358" s="62">
        <v>0</v>
      </c>
      <c r="O358" s="62">
        <v>0</v>
      </c>
      <c r="P358" s="62">
        <v>0</v>
      </c>
      <c r="Q358" s="131"/>
      <c r="R358" s="35"/>
      <c r="W358" s="32">
        <f t="shared" si="70"/>
        <v>0</v>
      </c>
    </row>
    <row r="359" s="76" customFormat="1">
      <c r="A359" s="28"/>
      <c r="B359" s="94"/>
      <c r="C359" s="11"/>
      <c r="D359" s="14"/>
      <c r="E359" s="14"/>
      <c r="F359" s="77" t="s">
        <v>31</v>
      </c>
      <c r="G359" s="78">
        <f t="shared" si="73"/>
        <v>1987.7</v>
      </c>
      <c r="H359" s="78">
        <f t="shared" si="74"/>
        <v>1987.7</v>
      </c>
      <c r="I359" s="78">
        <f t="shared" si="76"/>
        <v>1987.7</v>
      </c>
      <c r="J359" s="78">
        <v>1987.7</v>
      </c>
      <c r="K359" s="78">
        <v>0</v>
      </c>
      <c r="L359" s="78">
        <v>0</v>
      </c>
      <c r="M359" s="78">
        <v>0</v>
      </c>
      <c r="N359" s="78">
        <v>0</v>
      </c>
      <c r="O359" s="78">
        <v>0</v>
      </c>
      <c r="P359" s="78">
        <v>0</v>
      </c>
      <c r="Q359" s="131"/>
      <c r="R359" s="68"/>
      <c r="W359" s="70">
        <f t="shared" si="70"/>
        <v>0</v>
      </c>
    </row>
    <row r="360" ht="15.75">
      <c r="A360" s="28"/>
      <c r="B360" s="94"/>
      <c r="C360" s="11"/>
      <c r="D360" s="14"/>
      <c r="E360" s="14"/>
      <c r="F360" s="11" t="s">
        <v>32</v>
      </c>
      <c r="G360" s="62">
        <f t="shared" si="73"/>
        <v>1994.7</v>
      </c>
      <c r="H360" s="62">
        <f t="shared" si="74"/>
        <v>1994.7</v>
      </c>
      <c r="I360" s="62">
        <v>1994.7</v>
      </c>
      <c r="J360" s="62">
        <v>1994.7</v>
      </c>
      <c r="K360" s="62">
        <v>0</v>
      </c>
      <c r="L360" s="62">
        <v>0</v>
      </c>
      <c r="M360" s="62">
        <v>0</v>
      </c>
      <c r="N360" s="62">
        <v>0</v>
      </c>
      <c r="O360" s="62">
        <v>0</v>
      </c>
      <c r="P360" s="62">
        <v>0</v>
      </c>
      <c r="Q360" s="131"/>
      <c r="R360" s="35"/>
      <c r="W360" s="32">
        <f t="shared" si="70"/>
        <v>0</v>
      </c>
    </row>
    <row r="361" ht="15.75">
      <c r="A361" s="28"/>
      <c r="B361" s="94"/>
      <c r="C361" s="11"/>
      <c r="D361" s="14"/>
      <c r="E361" s="14"/>
      <c r="F361" s="11" t="s">
        <v>33</v>
      </c>
      <c r="G361" s="62">
        <f t="shared" si="73"/>
        <v>1994.7</v>
      </c>
      <c r="H361" s="62">
        <f t="shared" si="74"/>
        <v>1994.7</v>
      </c>
      <c r="I361" s="62">
        <f t="shared" ref="I361:I362" si="77">I360</f>
        <v>1994.7</v>
      </c>
      <c r="J361" s="62">
        <v>1994.7</v>
      </c>
      <c r="K361" s="62">
        <v>0</v>
      </c>
      <c r="L361" s="62">
        <v>0</v>
      </c>
      <c r="M361" s="62">
        <v>0</v>
      </c>
      <c r="N361" s="62">
        <v>0</v>
      </c>
      <c r="O361" s="62">
        <v>0</v>
      </c>
      <c r="P361" s="62">
        <v>0</v>
      </c>
      <c r="Q361" s="131"/>
      <c r="R361" s="35"/>
      <c r="W361" s="32">
        <f t="shared" si="70"/>
        <v>0</v>
      </c>
    </row>
    <row r="362" ht="15.75">
      <c r="A362" s="49"/>
      <c r="B362" s="97"/>
      <c r="C362" s="11"/>
      <c r="D362" s="16"/>
      <c r="E362" s="16"/>
      <c r="F362" s="11" t="s">
        <v>34</v>
      </c>
      <c r="G362" s="62">
        <f t="shared" si="73"/>
        <v>1994.7</v>
      </c>
      <c r="H362" s="62">
        <f t="shared" si="74"/>
        <v>0</v>
      </c>
      <c r="I362" s="62">
        <f t="shared" si="77"/>
        <v>1994.7</v>
      </c>
      <c r="J362" s="62">
        <v>0</v>
      </c>
      <c r="K362" s="62">
        <v>0</v>
      </c>
      <c r="L362" s="62">
        <v>0</v>
      </c>
      <c r="M362" s="62">
        <v>0</v>
      </c>
      <c r="N362" s="62">
        <v>0</v>
      </c>
      <c r="O362" s="62">
        <v>0</v>
      </c>
      <c r="P362" s="62">
        <v>0</v>
      </c>
      <c r="Q362" s="131"/>
      <c r="R362" s="35"/>
      <c r="W362" s="32">
        <f t="shared" si="70"/>
        <v>1994.7</v>
      </c>
    </row>
    <row r="363" s="26" customFormat="1" ht="15.75" customHeight="1">
      <c r="A363" s="22"/>
      <c r="B363" s="94" t="s">
        <v>123</v>
      </c>
      <c r="C363" s="12"/>
      <c r="D363" s="12" t="s">
        <v>47</v>
      </c>
      <c r="E363" s="11" t="s">
        <v>120</v>
      </c>
      <c r="F363" s="11" t="s">
        <v>21</v>
      </c>
      <c r="G363" s="62">
        <f>SUM(G364:G374)</f>
        <v>13666.500000000002</v>
      </c>
      <c r="H363" s="62">
        <f>SUM(H364:H374)</f>
        <v>12254.800000000001</v>
      </c>
      <c r="I363" s="62">
        <f>SUM(I364:I374)</f>
        <v>13666.500000000002</v>
      </c>
      <c r="J363" s="62">
        <f>SUM(J364:J374)</f>
        <v>12254.800000000001</v>
      </c>
      <c r="K363" s="62">
        <f>SUM(K364:K374)</f>
        <v>0</v>
      </c>
      <c r="L363" s="62">
        <f>SUM(L364:L374)</f>
        <v>0</v>
      </c>
      <c r="M363" s="62">
        <f>SUM(M364:M374)</f>
        <v>0</v>
      </c>
      <c r="N363" s="62">
        <f>SUM(N364:N374)</f>
        <v>0</v>
      </c>
      <c r="O363" s="62">
        <f>SUM(O364:O374)</f>
        <v>0</v>
      </c>
      <c r="P363" s="62">
        <f>SUM(P364:P374)</f>
        <v>0</v>
      </c>
      <c r="Q363" s="131" t="s">
        <v>124</v>
      </c>
      <c r="R363" s="35"/>
      <c r="W363" s="32">
        <f t="shared" si="70"/>
        <v>1411.7000000000007</v>
      </c>
    </row>
    <row r="364" s="8" customFormat="1">
      <c r="A364" s="28"/>
      <c r="B364" s="94"/>
      <c r="C364" s="14"/>
      <c r="D364" s="14"/>
      <c r="E364" s="11"/>
      <c r="F364" s="11" t="s">
        <v>23</v>
      </c>
      <c r="G364" s="62">
        <f t="shared" ref="G364:G374" si="78">I364+K364+M364+O364</f>
        <v>0</v>
      </c>
      <c r="H364" s="62">
        <f t="shared" ref="H364:H374" si="79">J364+L364+N364+P364</f>
        <v>0</v>
      </c>
      <c r="I364" s="62">
        <v>0</v>
      </c>
      <c r="J364" s="62">
        <v>0</v>
      </c>
      <c r="K364" s="62">
        <v>0</v>
      </c>
      <c r="L364" s="62">
        <v>0</v>
      </c>
      <c r="M364" s="62">
        <v>0</v>
      </c>
      <c r="N364" s="62">
        <v>0</v>
      </c>
      <c r="O364" s="62">
        <v>0</v>
      </c>
      <c r="P364" s="62">
        <v>0</v>
      </c>
      <c r="Q364" s="131"/>
      <c r="R364" s="108"/>
      <c r="W364" s="32">
        <f t="shared" si="70"/>
        <v>0</v>
      </c>
    </row>
    <row r="365" ht="15.75">
      <c r="A365" s="28"/>
      <c r="B365" s="94"/>
      <c r="C365" s="14"/>
      <c r="D365" s="14"/>
      <c r="E365" s="11"/>
      <c r="F365" s="11" t="s">
        <v>25</v>
      </c>
      <c r="G365" s="62">
        <f t="shared" si="78"/>
        <v>0</v>
      </c>
      <c r="H365" s="62">
        <f t="shared" si="79"/>
        <v>0</v>
      </c>
      <c r="I365" s="62">
        <v>0</v>
      </c>
      <c r="J365" s="62">
        <v>0</v>
      </c>
      <c r="K365" s="62">
        <v>0</v>
      </c>
      <c r="L365" s="62">
        <v>0</v>
      </c>
      <c r="M365" s="62">
        <v>0</v>
      </c>
      <c r="N365" s="62">
        <v>0</v>
      </c>
      <c r="O365" s="62">
        <v>0</v>
      </c>
      <c r="P365" s="62">
        <v>0</v>
      </c>
      <c r="Q365" s="131"/>
      <c r="R365" s="35"/>
      <c r="W365" s="32">
        <f t="shared" si="70"/>
        <v>0</v>
      </c>
    </row>
    <row r="366" ht="15" customHeight="1">
      <c r="A366" s="28"/>
      <c r="B366" s="94"/>
      <c r="C366" s="16"/>
      <c r="D366" s="14"/>
      <c r="E366" s="11"/>
      <c r="F366" s="11" t="s">
        <v>26</v>
      </c>
      <c r="G366" s="62">
        <f t="shared" si="78"/>
        <v>0</v>
      </c>
      <c r="H366" s="62">
        <f t="shared" si="79"/>
        <v>0</v>
      </c>
      <c r="I366" s="62">
        <v>0</v>
      </c>
      <c r="J366" s="62">
        <v>0</v>
      </c>
      <c r="K366" s="62">
        <v>0</v>
      </c>
      <c r="L366" s="62">
        <v>0</v>
      </c>
      <c r="M366" s="62">
        <v>0</v>
      </c>
      <c r="N366" s="62">
        <v>0</v>
      </c>
      <c r="O366" s="62">
        <v>0</v>
      </c>
      <c r="P366" s="62">
        <v>0</v>
      </c>
      <c r="Q366" s="131"/>
      <c r="R366" s="35"/>
      <c r="W366" s="32">
        <f t="shared" si="70"/>
        <v>0</v>
      </c>
    </row>
    <row r="367" ht="15.75">
      <c r="A367" s="28"/>
      <c r="B367" s="94"/>
      <c r="C367" s="11" t="s">
        <v>122</v>
      </c>
      <c r="D367" s="14"/>
      <c r="E367" s="11"/>
      <c r="F367" s="11" t="s">
        <v>27</v>
      </c>
      <c r="G367" s="62">
        <f t="shared" si="78"/>
        <v>1997.8</v>
      </c>
      <c r="H367" s="62">
        <f t="shared" si="79"/>
        <v>1997.8</v>
      </c>
      <c r="I367" s="62">
        <v>1997.8</v>
      </c>
      <c r="J367" s="62">
        <f>I367</f>
        <v>1997.8</v>
      </c>
      <c r="K367" s="62">
        <v>0</v>
      </c>
      <c r="L367" s="62">
        <v>0</v>
      </c>
      <c r="M367" s="62">
        <f t="shared" ref="M367:M369" si="80">M366</f>
        <v>0</v>
      </c>
      <c r="N367" s="62">
        <v>0</v>
      </c>
      <c r="O367" s="62">
        <v>0</v>
      </c>
      <c r="P367" s="62">
        <v>0</v>
      </c>
      <c r="Q367" s="131"/>
      <c r="R367" s="35"/>
      <c r="W367" s="32">
        <f t="shared" si="70"/>
        <v>0</v>
      </c>
    </row>
    <row r="368" ht="15.75">
      <c r="A368" s="28"/>
      <c r="B368" s="94"/>
      <c r="C368" s="11"/>
      <c r="D368" s="14"/>
      <c r="E368" s="11"/>
      <c r="F368" s="11" t="s">
        <v>28</v>
      </c>
      <c r="G368" s="62">
        <f t="shared" si="78"/>
        <v>1962.0999999999999</v>
      </c>
      <c r="H368" s="62">
        <f t="shared" si="79"/>
        <v>1962.0999999999999</v>
      </c>
      <c r="I368" s="62">
        <v>1962.0999999999999</v>
      </c>
      <c r="J368" s="62">
        <v>1962.0999999999999</v>
      </c>
      <c r="K368" s="62">
        <v>0</v>
      </c>
      <c r="L368" s="62">
        <v>0</v>
      </c>
      <c r="M368" s="62">
        <f t="shared" si="80"/>
        <v>0</v>
      </c>
      <c r="N368" s="62">
        <v>0</v>
      </c>
      <c r="O368" s="62">
        <v>0</v>
      </c>
      <c r="P368" s="62">
        <v>0</v>
      </c>
      <c r="Q368" s="131"/>
      <c r="R368" s="35"/>
      <c r="W368" s="32">
        <f t="shared" si="70"/>
        <v>0</v>
      </c>
    </row>
    <row r="369" ht="15.75">
      <c r="A369" s="28"/>
      <c r="B369" s="94"/>
      <c r="C369" s="11"/>
      <c r="D369" s="14"/>
      <c r="E369" s="11"/>
      <c r="F369" s="11" t="s">
        <v>29</v>
      </c>
      <c r="G369" s="62">
        <f t="shared" si="78"/>
        <v>1970</v>
      </c>
      <c r="H369" s="62">
        <f t="shared" si="79"/>
        <v>1970</v>
      </c>
      <c r="I369" s="62">
        <f>J369</f>
        <v>1970</v>
      </c>
      <c r="J369" s="62">
        <v>1970</v>
      </c>
      <c r="K369" s="62">
        <v>0</v>
      </c>
      <c r="L369" s="62">
        <v>0</v>
      </c>
      <c r="M369" s="62">
        <f t="shared" si="80"/>
        <v>0</v>
      </c>
      <c r="N369" s="62">
        <v>0</v>
      </c>
      <c r="O369" s="62">
        <v>0</v>
      </c>
      <c r="P369" s="62">
        <v>0</v>
      </c>
      <c r="Q369" s="131"/>
      <c r="R369" s="35"/>
      <c r="W369" s="32">
        <f t="shared" si="70"/>
        <v>0</v>
      </c>
    </row>
    <row r="370" ht="15.75">
      <c r="A370" s="28"/>
      <c r="B370" s="94"/>
      <c r="C370" s="11"/>
      <c r="D370" s="14"/>
      <c r="E370" s="11"/>
      <c r="F370" s="11" t="s">
        <v>30</v>
      </c>
      <c r="G370" s="62">
        <f t="shared" si="78"/>
        <v>2033.8</v>
      </c>
      <c r="H370" s="62">
        <f t="shared" si="79"/>
        <v>2033.8</v>
      </c>
      <c r="I370" s="62">
        <v>2033.8</v>
      </c>
      <c r="J370" s="62">
        <f>I370</f>
        <v>2033.8</v>
      </c>
      <c r="K370" s="62">
        <v>0</v>
      </c>
      <c r="L370" s="62">
        <v>0</v>
      </c>
      <c r="M370" s="62">
        <v>0</v>
      </c>
      <c r="N370" s="62">
        <v>0</v>
      </c>
      <c r="O370" s="62">
        <v>0</v>
      </c>
      <c r="P370" s="62">
        <v>0</v>
      </c>
      <c r="Q370" s="131"/>
      <c r="R370" s="35"/>
      <c r="W370" s="32">
        <f t="shared" si="70"/>
        <v>0</v>
      </c>
    </row>
    <row r="371" s="76" customFormat="1">
      <c r="A371" s="28"/>
      <c r="B371" s="94"/>
      <c r="C371" s="11"/>
      <c r="D371" s="14"/>
      <c r="E371" s="11"/>
      <c r="F371" s="77" t="s">
        <v>31</v>
      </c>
      <c r="G371" s="78">
        <f t="shared" si="78"/>
        <v>1467.7</v>
      </c>
      <c r="H371" s="78">
        <f t="shared" si="79"/>
        <v>1467.7</v>
      </c>
      <c r="I371" s="78">
        <f t="shared" ref="I371:I372" si="81">J371</f>
        <v>1467.7</v>
      </c>
      <c r="J371" s="78">
        <v>1467.7</v>
      </c>
      <c r="K371" s="78">
        <v>0</v>
      </c>
      <c r="L371" s="78">
        <v>0</v>
      </c>
      <c r="M371" s="78">
        <v>0</v>
      </c>
      <c r="N371" s="78">
        <v>0</v>
      </c>
      <c r="O371" s="78">
        <v>0</v>
      </c>
      <c r="P371" s="78">
        <v>0</v>
      </c>
      <c r="Q371" s="131"/>
      <c r="R371" s="68"/>
      <c r="W371" s="70">
        <f t="shared" si="70"/>
        <v>0</v>
      </c>
    </row>
    <row r="372" ht="15.75">
      <c r="A372" s="28"/>
      <c r="B372" s="94"/>
      <c r="C372" s="11"/>
      <c r="D372" s="14"/>
      <c r="E372" s="11"/>
      <c r="F372" s="11" t="s">
        <v>32</v>
      </c>
      <c r="G372" s="62">
        <f t="shared" si="78"/>
        <v>1411.7</v>
      </c>
      <c r="H372" s="62">
        <f t="shared" si="79"/>
        <v>1411.7</v>
      </c>
      <c r="I372" s="62">
        <f t="shared" si="81"/>
        <v>1411.7</v>
      </c>
      <c r="J372" s="62">
        <v>1411.7</v>
      </c>
      <c r="K372" s="62">
        <v>0</v>
      </c>
      <c r="L372" s="62">
        <v>0</v>
      </c>
      <c r="M372" s="62">
        <v>0</v>
      </c>
      <c r="N372" s="62">
        <v>0</v>
      </c>
      <c r="O372" s="62">
        <v>0</v>
      </c>
      <c r="P372" s="62">
        <v>0</v>
      </c>
      <c r="Q372" s="131"/>
      <c r="R372" s="35"/>
      <c r="W372" s="32">
        <f t="shared" si="70"/>
        <v>0</v>
      </c>
    </row>
    <row r="373" ht="15.75">
      <c r="A373" s="28"/>
      <c r="B373" s="94"/>
      <c r="C373" s="11"/>
      <c r="D373" s="14"/>
      <c r="E373" s="11"/>
      <c r="F373" s="11" t="s">
        <v>33</v>
      </c>
      <c r="G373" s="62">
        <f t="shared" si="78"/>
        <v>1411.7</v>
      </c>
      <c r="H373" s="62">
        <f t="shared" si="79"/>
        <v>1411.7</v>
      </c>
      <c r="I373" s="62">
        <f t="shared" ref="I373:I374" si="82">I372</f>
        <v>1411.7</v>
      </c>
      <c r="J373" s="62">
        <f>I373</f>
        <v>1411.7</v>
      </c>
      <c r="K373" s="62">
        <v>0</v>
      </c>
      <c r="L373" s="62">
        <v>0</v>
      </c>
      <c r="M373" s="62">
        <v>0</v>
      </c>
      <c r="N373" s="62">
        <v>0</v>
      </c>
      <c r="O373" s="62">
        <v>0</v>
      </c>
      <c r="P373" s="62">
        <v>0</v>
      </c>
      <c r="Q373" s="131"/>
      <c r="R373" s="35"/>
      <c r="W373" s="32">
        <f t="shared" si="70"/>
        <v>0</v>
      </c>
    </row>
    <row r="374" ht="15.75">
      <c r="A374" s="49"/>
      <c r="B374" s="97"/>
      <c r="C374" s="11"/>
      <c r="D374" s="16"/>
      <c r="E374" s="11"/>
      <c r="F374" s="11" t="s">
        <v>34</v>
      </c>
      <c r="G374" s="62">
        <f t="shared" si="78"/>
        <v>1411.7</v>
      </c>
      <c r="H374" s="62">
        <f t="shared" si="79"/>
        <v>0</v>
      </c>
      <c r="I374" s="62">
        <f t="shared" si="82"/>
        <v>1411.7</v>
      </c>
      <c r="J374" s="62">
        <v>0</v>
      </c>
      <c r="K374" s="62">
        <v>0</v>
      </c>
      <c r="L374" s="62">
        <v>0</v>
      </c>
      <c r="M374" s="62">
        <v>0</v>
      </c>
      <c r="N374" s="62">
        <v>0</v>
      </c>
      <c r="O374" s="62">
        <v>0</v>
      </c>
      <c r="P374" s="62">
        <v>0</v>
      </c>
      <c r="Q374" s="131"/>
      <c r="R374" s="35"/>
      <c r="W374" s="32">
        <f t="shared" si="70"/>
        <v>1411.7</v>
      </c>
    </row>
    <row r="375" s="26" customFormat="1" ht="15.75" customHeight="1">
      <c r="A375" s="22"/>
      <c r="B375" s="94" t="s">
        <v>125</v>
      </c>
      <c r="C375" s="12"/>
      <c r="D375" s="12" t="s">
        <v>47</v>
      </c>
      <c r="E375" s="11" t="s">
        <v>120</v>
      </c>
      <c r="F375" s="11" t="s">
        <v>21</v>
      </c>
      <c r="G375" s="62">
        <f>SUM(G376:G386)</f>
        <v>16278.199999999999</v>
      </c>
      <c r="H375" s="62">
        <f>SUM(H376:H386)</f>
        <v>14843.199999999999</v>
      </c>
      <c r="I375" s="62">
        <f>SUM(I376:I386)</f>
        <v>16278.199999999999</v>
      </c>
      <c r="J375" s="62">
        <f>SUM(J376:J386)</f>
        <v>14843.199999999999</v>
      </c>
      <c r="K375" s="62">
        <f>SUM(K376:K386)</f>
        <v>0</v>
      </c>
      <c r="L375" s="62">
        <f>SUM(L376:L386)</f>
        <v>0</v>
      </c>
      <c r="M375" s="62">
        <f>SUM(M376:M386)</f>
        <v>0</v>
      </c>
      <c r="N375" s="62">
        <f>SUM(N376:N386)</f>
        <v>0</v>
      </c>
      <c r="O375" s="62">
        <f>SUM(O376:O386)</f>
        <v>0</v>
      </c>
      <c r="P375" s="62">
        <f>SUM(P376:P386)</f>
        <v>0</v>
      </c>
      <c r="Q375" s="131" t="s">
        <v>126</v>
      </c>
      <c r="R375" s="35"/>
      <c r="W375" s="32">
        <f t="shared" si="70"/>
        <v>1435</v>
      </c>
    </row>
    <row r="376" s="8" customFormat="1">
      <c r="A376" s="28"/>
      <c r="B376" s="94"/>
      <c r="C376" s="14"/>
      <c r="D376" s="14"/>
      <c r="E376" s="11"/>
      <c r="F376" s="11" t="s">
        <v>23</v>
      </c>
      <c r="G376" s="62">
        <f t="shared" ref="G376:G386" si="83">I376+K376+M376+O376</f>
        <v>0</v>
      </c>
      <c r="H376" s="62">
        <f t="shared" ref="H376:H386" si="84">J376+L376+N376+P376</f>
        <v>0</v>
      </c>
      <c r="I376" s="62">
        <v>0</v>
      </c>
      <c r="J376" s="62">
        <v>0</v>
      </c>
      <c r="K376" s="62">
        <v>0</v>
      </c>
      <c r="L376" s="62">
        <v>0</v>
      </c>
      <c r="M376" s="62">
        <v>0</v>
      </c>
      <c r="N376" s="62">
        <v>0</v>
      </c>
      <c r="O376" s="62">
        <v>0</v>
      </c>
      <c r="P376" s="62">
        <v>0</v>
      </c>
      <c r="Q376" s="131"/>
      <c r="R376" s="108"/>
      <c r="W376" s="32">
        <f t="shared" si="70"/>
        <v>0</v>
      </c>
    </row>
    <row r="377" ht="15.75">
      <c r="A377" s="28"/>
      <c r="B377" s="94"/>
      <c r="C377" s="14"/>
      <c r="D377" s="14"/>
      <c r="E377" s="11"/>
      <c r="F377" s="11" t="s">
        <v>25</v>
      </c>
      <c r="G377" s="62">
        <f t="shared" si="83"/>
        <v>0</v>
      </c>
      <c r="H377" s="62">
        <f t="shared" si="84"/>
        <v>0</v>
      </c>
      <c r="I377" s="62">
        <v>0</v>
      </c>
      <c r="J377" s="62">
        <v>0</v>
      </c>
      <c r="K377" s="62">
        <v>0</v>
      </c>
      <c r="L377" s="62">
        <v>0</v>
      </c>
      <c r="M377" s="62">
        <v>0</v>
      </c>
      <c r="N377" s="62">
        <v>0</v>
      </c>
      <c r="O377" s="62">
        <v>0</v>
      </c>
      <c r="P377" s="62">
        <v>0</v>
      </c>
      <c r="Q377" s="131"/>
      <c r="R377" s="35"/>
      <c r="W377" s="32">
        <f t="shared" si="70"/>
        <v>0</v>
      </c>
    </row>
    <row r="378" ht="15" customHeight="1">
      <c r="A378" s="28"/>
      <c r="B378" s="94"/>
      <c r="C378" s="16"/>
      <c r="D378" s="14"/>
      <c r="E378" s="11"/>
      <c r="F378" s="11" t="s">
        <v>26</v>
      </c>
      <c r="G378" s="62">
        <f t="shared" si="83"/>
        <v>0</v>
      </c>
      <c r="H378" s="62">
        <f t="shared" si="84"/>
        <v>0</v>
      </c>
      <c r="I378" s="62">
        <v>0</v>
      </c>
      <c r="J378" s="62">
        <v>0</v>
      </c>
      <c r="K378" s="62">
        <v>0</v>
      </c>
      <c r="L378" s="62">
        <v>0</v>
      </c>
      <c r="M378" s="62">
        <v>0</v>
      </c>
      <c r="N378" s="62">
        <v>0</v>
      </c>
      <c r="O378" s="62">
        <v>0</v>
      </c>
      <c r="P378" s="62">
        <v>0</v>
      </c>
      <c r="Q378" s="131"/>
      <c r="R378" s="35"/>
      <c r="W378" s="32">
        <f t="shared" si="70"/>
        <v>0</v>
      </c>
    </row>
    <row r="379" ht="15.75">
      <c r="A379" s="28"/>
      <c r="B379" s="94"/>
      <c r="C379" s="11" t="s">
        <v>122</v>
      </c>
      <c r="D379" s="14"/>
      <c r="E379" s="11"/>
      <c r="F379" s="11" t="s">
        <v>27</v>
      </c>
      <c r="G379" s="62">
        <f t="shared" si="83"/>
        <v>2479.3000000000002</v>
      </c>
      <c r="H379" s="62">
        <f t="shared" si="84"/>
        <v>2479.3000000000002</v>
      </c>
      <c r="I379" s="62">
        <v>2479.3000000000002</v>
      </c>
      <c r="J379" s="62">
        <f>I379</f>
        <v>2479.3000000000002</v>
      </c>
      <c r="K379" s="62">
        <v>0</v>
      </c>
      <c r="L379" s="62">
        <v>0</v>
      </c>
      <c r="M379" s="62">
        <f t="shared" ref="M379:M381" si="85">M378</f>
        <v>0</v>
      </c>
      <c r="N379" s="62">
        <v>0</v>
      </c>
      <c r="O379" s="62">
        <v>0</v>
      </c>
      <c r="P379" s="62">
        <v>0</v>
      </c>
      <c r="Q379" s="131"/>
      <c r="R379" s="35"/>
      <c r="W379" s="32">
        <f t="shared" si="70"/>
        <v>0</v>
      </c>
    </row>
    <row r="380" ht="15.75">
      <c r="A380" s="28"/>
      <c r="B380" s="94"/>
      <c r="C380" s="11"/>
      <c r="D380" s="14"/>
      <c r="E380" s="11"/>
      <c r="F380" s="11" t="s">
        <v>28</v>
      </c>
      <c r="G380" s="62">
        <f t="shared" si="83"/>
        <v>2923.0999999999999</v>
      </c>
      <c r="H380" s="62">
        <f t="shared" si="84"/>
        <v>2923.0999999999999</v>
      </c>
      <c r="I380" s="62">
        <f t="shared" ref="I380:I383" si="86">J380</f>
        <v>2923.0999999999999</v>
      </c>
      <c r="J380" s="62">
        <v>2923.0999999999999</v>
      </c>
      <c r="K380" s="62">
        <v>0</v>
      </c>
      <c r="L380" s="62">
        <v>0</v>
      </c>
      <c r="M380" s="62">
        <f t="shared" si="85"/>
        <v>0</v>
      </c>
      <c r="N380" s="62">
        <v>0</v>
      </c>
      <c r="O380" s="62">
        <v>0</v>
      </c>
      <c r="P380" s="62">
        <v>0</v>
      </c>
      <c r="Q380" s="131"/>
      <c r="R380" s="35"/>
      <c r="W380" s="32">
        <f t="shared" si="70"/>
        <v>0</v>
      </c>
    </row>
    <row r="381" ht="15.75">
      <c r="A381" s="28"/>
      <c r="B381" s="94"/>
      <c r="C381" s="11"/>
      <c r="D381" s="14"/>
      <c r="E381" s="11"/>
      <c r="F381" s="11" t="s">
        <v>29</v>
      </c>
      <c r="G381" s="62">
        <f t="shared" si="83"/>
        <v>2728</v>
      </c>
      <c r="H381" s="62">
        <f t="shared" si="84"/>
        <v>2728</v>
      </c>
      <c r="I381" s="62">
        <f t="shared" si="86"/>
        <v>2728</v>
      </c>
      <c r="J381" s="62">
        <v>2728</v>
      </c>
      <c r="K381" s="62">
        <v>0</v>
      </c>
      <c r="L381" s="62">
        <v>0</v>
      </c>
      <c r="M381" s="62">
        <f t="shared" si="85"/>
        <v>0</v>
      </c>
      <c r="N381" s="62">
        <v>0</v>
      </c>
      <c r="O381" s="62">
        <v>0</v>
      </c>
      <c r="P381" s="62">
        <v>0</v>
      </c>
      <c r="Q381" s="131"/>
      <c r="R381" s="35"/>
      <c r="W381" s="32">
        <f t="shared" si="70"/>
        <v>0</v>
      </c>
    </row>
    <row r="382" ht="15.75">
      <c r="A382" s="28"/>
      <c r="B382" s="94"/>
      <c r="C382" s="11"/>
      <c r="D382" s="14"/>
      <c r="E382" s="11"/>
      <c r="F382" s="11" t="s">
        <v>30</v>
      </c>
      <c r="G382" s="62">
        <f t="shared" si="83"/>
        <v>2249</v>
      </c>
      <c r="H382" s="62">
        <f t="shared" si="84"/>
        <v>2249</v>
      </c>
      <c r="I382" s="62">
        <v>2249</v>
      </c>
      <c r="J382" s="62">
        <f>I382</f>
        <v>2249</v>
      </c>
      <c r="K382" s="62">
        <v>0</v>
      </c>
      <c r="L382" s="62">
        <v>0</v>
      </c>
      <c r="M382" s="62">
        <v>0</v>
      </c>
      <c r="N382" s="62">
        <v>0</v>
      </c>
      <c r="O382" s="62">
        <v>0</v>
      </c>
      <c r="P382" s="62">
        <v>0</v>
      </c>
      <c r="Q382" s="131"/>
      <c r="R382" s="35"/>
      <c r="W382" s="32">
        <f t="shared" ref="W382:W445" si="87">I382-J382</f>
        <v>0</v>
      </c>
    </row>
    <row r="383" s="76" customFormat="1">
      <c r="A383" s="28"/>
      <c r="B383" s="94"/>
      <c r="C383" s="11"/>
      <c r="D383" s="14"/>
      <c r="E383" s="11"/>
      <c r="F383" s="77" t="s">
        <v>31</v>
      </c>
      <c r="G383" s="78">
        <f t="shared" si="83"/>
        <v>1593.8</v>
      </c>
      <c r="H383" s="78">
        <f t="shared" si="84"/>
        <v>1593.8</v>
      </c>
      <c r="I383" s="78">
        <f t="shared" si="86"/>
        <v>1593.8</v>
      </c>
      <c r="J383" s="78">
        <v>1593.8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131"/>
      <c r="R383" s="68"/>
      <c r="W383" s="70">
        <f t="shared" si="87"/>
        <v>0</v>
      </c>
    </row>
    <row r="384" ht="15.75">
      <c r="A384" s="28"/>
      <c r="B384" s="94"/>
      <c r="C384" s="11"/>
      <c r="D384" s="14"/>
      <c r="E384" s="11"/>
      <c r="F384" s="11" t="s">
        <v>32</v>
      </c>
      <c r="G384" s="62">
        <f t="shared" si="83"/>
        <v>1435</v>
      </c>
      <c r="H384" s="62">
        <f t="shared" si="84"/>
        <v>1435</v>
      </c>
      <c r="I384" s="62">
        <v>1435</v>
      </c>
      <c r="J384" s="62">
        <v>1435</v>
      </c>
      <c r="K384" s="62">
        <v>0</v>
      </c>
      <c r="L384" s="62">
        <v>0</v>
      </c>
      <c r="M384" s="62">
        <v>0</v>
      </c>
      <c r="N384" s="62">
        <v>0</v>
      </c>
      <c r="O384" s="62">
        <v>0</v>
      </c>
      <c r="P384" s="62">
        <v>0</v>
      </c>
      <c r="Q384" s="131"/>
      <c r="R384" s="35"/>
      <c r="W384" s="32">
        <f t="shared" si="87"/>
        <v>0</v>
      </c>
    </row>
    <row r="385" ht="15.75">
      <c r="A385" s="28"/>
      <c r="B385" s="94"/>
      <c r="C385" s="11"/>
      <c r="D385" s="14"/>
      <c r="E385" s="11"/>
      <c r="F385" s="11" t="s">
        <v>33</v>
      </c>
      <c r="G385" s="62">
        <f t="shared" si="83"/>
        <v>1435</v>
      </c>
      <c r="H385" s="62">
        <f t="shared" si="84"/>
        <v>1435</v>
      </c>
      <c r="I385" s="62">
        <f t="shared" ref="I385:I386" si="88">I384</f>
        <v>1435</v>
      </c>
      <c r="J385" s="62">
        <f>I385</f>
        <v>1435</v>
      </c>
      <c r="K385" s="62">
        <v>0</v>
      </c>
      <c r="L385" s="62">
        <v>0</v>
      </c>
      <c r="M385" s="62">
        <v>0</v>
      </c>
      <c r="N385" s="62">
        <v>0</v>
      </c>
      <c r="O385" s="62">
        <v>0</v>
      </c>
      <c r="P385" s="62">
        <v>0</v>
      </c>
      <c r="Q385" s="131"/>
      <c r="R385" s="35"/>
      <c r="W385" s="32">
        <f t="shared" si="87"/>
        <v>0</v>
      </c>
    </row>
    <row r="386" ht="15.75">
      <c r="A386" s="49"/>
      <c r="B386" s="97"/>
      <c r="C386" s="11"/>
      <c r="D386" s="16"/>
      <c r="E386" s="11"/>
      <c r="F386" s="11" t="s">
        <v>34</v>
      </c>
      <c r="G386" s="62">
        <f t="shared" si="83"/>
        <v>1435</v>
      </c>
      <c r="H386" s="62">
        <f t="shared" si="84"/>
        <v>0</v>
      </c>
      <c r="I386" s="62">
        <f t="shared" si="88"/>
        <v>1435</v>
      </c>
      <c r="J386" s="62">
        <v>0</v>
      </c>
      <c r="K386" s="62">
        <v>0</v>
      </c>
      <c r="L386" s="62">
        <v>0</v>
      </c>
      <c r="M386" s="62">
        <v>0</v>
      </c>
      <c r="N386" s="62">
        <v>0</v>
      </c>
      <c r="O386" s="62">
        <v>0</v>
      </c>
      <c r="P386" s="62">
        <v>0</v>
      </c>
      <c r="Q386" s="131"/>
      <c r="R386" s="35"/>
      <c r="W386" s="32">
        <f t="shared" si="87"/>
        <v>1435</v>
      </c>
    </row>
    <row r="387" s="26" customFormat="1" ht="15.75" customHeight="1">
      <c r="A387" s="22"/>
      <c r="B387" s="94" t="s">
        <v>127</v>
      </c>
      <c r="C387" s="12"/>
      <c r="D387" s="12" t="s">
        <v>47</v>
      </c>
      <c r="E387" s="11" t="s">
        <v>120</v>
      </c>
      <c r="F387" s="11" t="s">
        <v>21</v>
      </c>
      <c r="G387" s="62">
        <f>SUM(G388:G398)</f>
        <v>28968.199999999997</v>
      </c>
      <c r="H387" s="62">
        <f>SUM(H388:H398)</f>
        <v>23152.999999999996</v>
      </c>
      <c r="I387" s="62">
        <f>SUM(I388:I398)</f>
        <v>28968.199999999997</v>
      </c>
      <c r="J387" s="62">
        <f>SUM(J388:J398)</f>
        <v>23152.999999999996</v>
      </c>
      <c r="K387" s="62">
        <f>SUM(K388:K398)</f>
        <v>0</v>
      </c>
      <c r="L387" s="62">
        <f>SUM(L388:L398)</f>
        <v>0</v>
      </c>
      <c r="M387" s="62">
        <f>SUM(M388:M398)</f>
        <v>0</v>
      </c>
      <c r="N387" s="62">
        <f>SUM(N388:N398)</f>
        <v>0</v>
      </c>
      <c r="O387" s="62">
        <f>SUM(O388:O398)</f>
        <v>0</v>
      </c>
      <c r="P387" s="62">
        <f>SUM(P388:P398)</f>
        <v>0</v>
      </c>
      <c r="Q387" s="131" t="s">
        <v>128</v>
      </c>
      <c r="R387" s="35"/>
      <c r="W387" s="32">
        <f t="shared" si="87"/>
        <v>5815.2000000000007</v>
      </c>
    </row>
    <row r="388" s="8" customFormat="1">
      <c r="A388" s="28"/>
      <c r="B388" s="94"/>
      <c r="C388" s="14"/>
      <c r="D388" s="14"/>
      <c r="E388" s="11"/>
      <c r="F388" s="11" t="s">
        <v>23</v>
      </c>
      <c r="G388" s="62">
        <f t="shared" ref="G388:G398" si="89">I388+K388+M388+O388</f>
        <v>0</v>
      </c>
      <c r="H388" s="62">
        <f t="shared" ref="H388:H398" si="90">J388+L388+N388+P388</f>
        <v>0</v>
      </c>
      <c r="I388" s="62">
        <v>0</v>
      </c>
      <c r="J388" s="62">
        <v>0</v>
      </c>
      <c r="K388" s="62">
        <v>0</v>
      </c>
      <c r="L388" s="62">
        <v>0</v>
      </c>
      <c r="M388" s="62">
        <v>0</v>
      </c>
      <c r="N388" s="62">
        <v>0</v>
      </c>
      <c r="O388" s="62">
        <v>0</v>
      </c>
      <c r="P388" s="62">
        <v>0</v>
      </c>
      <c r="Q388" s="131"/>
      <c r="R388" s="108"/>
      <c r="W388" s="32">
        <f t="shared" si="87"/>
        <v>0</v>
      </c>
    </row>
    <row r="389" ht="15.75">
      <c r="A389" s="28"/>
      <c r="B389" s="94"/>
      <c r="C389" s="14"/>
      <c r="D389" s="14"/>
      <c r="E389" s="11"/>
      <c r="F389" s="11" t="s">
        <v>25</v>
      </c>
      <c r="G389" s="62">
        <f t="shared" si="89"/>
        <v>0</v>
      </c>
      <c r="H389" s="62">
        <f t="shared" si="90"/>
        <v>0</v>
      </c>
      <c r="I389" s="62">
        <v>0</v>
      </c>
      <c r="J389" s="62">
        <v>0</v>
      </c>
      <c r="K389" s="62">
        <v>0</v>
      </c>
      <c r="L389" s="62">
        <v>0</v>
      </c>
      <c r="M389" s="62">
        <v>0</v>
      </c>
      <c r="N389" s="62">
        <v>0</v>
      </c>
      <c r="O389" s="62">
        <v>0</v>
      </c>
      <c r="P389" s="62">
        <v>0</v>
      </c>
      <c r="Q389" s="131"/>
      <c r="R389" s="35"/>
      <c r="W389" s="32">
        <f t="shared" si="87"/>
        <v>0</v>
      </c>
    </row>
    <row r="390" ht="15" customHeight="1">
      <c r="A390" s="28"/>
      <c r="B390" s="94"/>
      <c r="C390" s="16"/>
      <c r="D390" s="14"/>
      <c r="E390" s="11"/>
      <c r="F390" s="11" t="s">
        <v>26</v>
      </c>
      <c r="G390" s="62">
        <f t="shared" si="89"/>
        <v>0</v>
      </c>
      <c r="H390" s="62">
        <f t="shared" si="90"/>
        <v>0</v>
      </c>
      <c r="I390" s="62">
        <v>0</v>
      </c>
      <c r="J390" s="62">
        <v>0</v>
      </c>
      <c r="K390" s="62">
        <v>0</v>
      </c>
      <c r="L390" s="62">
        <v>0</v>
      </c>
      <c r="M390" s="62">
        <v>0</v>
      </c>
      <c r="N390" s="62">
        <v>0</v>
      </c>
      <c r="O390" s="62">
        <v>0</v>
      </c>
      <c r="P390" s="62">
        <v>0</v>
      </c>
      <c r="Q390" s="131"/>
      <c r="R390" s="35"/>
      <c r="W390" s="32">
        <f t="shared" si="87"/>
        <v>0</v>
      </c>
    </row>
    <row r="391" ht="15.75">
      <c r="A391" s="28"/>
      <c r="B391" s="94"/>
      <c r="C391" s="11" t="s">
        <v>122</v>
      </c>
      <c r="D391" s="14"/>
      <c r="E391" s="11"/>
      <c r="F391" s="11" t="s">
        <v>27</v>
      </c>
      <c r="G391" s="62">
        <f t="shared" si="89"/>
        <v>3652.6999999999998</v>
      </c>
      <c r="H391" s="62">
        <f t="shared" si="90"/>
        <v>3652.6999999999998</v>
      </c>
      <c r="I391" s="62">
        <v>3652.6999999999998</v>
      </c>
      <c r="J391" s="62">
        <f>I391</f>
        <v>3652.6999999999998</v>
      </c>
      <c r="K391" s="62">
        <v>0</v>
      </c>
      <c r="L391" s="62">
        <v>0</v>
      </c>
      <c r="M391" s="62">
        <f t="shared" ref="M391:M393" si="91">M390</f>
        <v>0</v>
      </c>
      <c r="N391" s="62">
        <v>0</v>
      </c>
      <c r="O391" s="62">
        <v>0</v>
      </c>
      <c r="P391" s="62">
        <v>0</v>
      </c>
      <c r="Q391" s="131"/>
      <c r="R391" s="35"/>
      <c r="W391" s="32">
        <f t="shared" si="87"/>
        <v>0</v>
      </c>
    </row>
    <row r="392" ht="15.75">
      <c r="A392" s="28"/>
      <c r="B392" s="94"/>
      <c r="C392" s="11"/>
      <c r="D392" s="14"/>
      <c r="E392" s="11"/>
      <c r="F392" s="11" t="s">
        <v>28</v>
      </c>
      <c r="G392" s="62">
        <f t="shared" si="89"/>
        <v>3887.9000000000001</v>
      </c>
      <c r="H392" s="62">
        <f t="shared" si="90"/>
        <v>3887.9000000000001</v>
      </c>
      <c r="I392" s="62">
        <f t="shared" ref="I392:I395" si="92">J392</f>
        <v>3887.9000000000001</v>
      </c>
      <c r="J392" s="62">
        <v>3887.9000000000001</v>
      </c>
      <c r="K392" s="62">
        <v>0</v>
      </c>
      <c r="L392" s="62">
        <v>0</v>
      </c>
      <c r="M392" s="62">
        <f t="shared" si="91"/>
        <v>0</v>
      </c>
      <c r="N392" s="62">
        <v>0</v>
      </c>
      <c r="O392" s="62">
        <v>0</v>
      </c>
      <c r="P392" s="62">
        <v>0</v>
      </c>
      <c r="Q392" s="131"/>
      <c r="R392" s="35"/>
      <c r="W392" s="32">
        <f t="shared" si="87"/>
        <v>0</v>
      </c>
    </row>
    <row r="393" ht="15.75">
      <c r="A393" s="28"/>
      <c r="B393" s="94"/>
      <c r="C393" s="11"/>
      <c r="D393" s="14"/>
      <c r="E393" s="11"/>
      <c r="F393" s="11" t="s">
        <v>29</v>
      </c>
      <c r="G393" s="62">
        <f t="shared" si="89"/>
        <v>3037.6999999999998</v>
      </c>
      <c r="H393" s="62">
        <f t="shared" si="90"/>
        <v>3037.6999999999998</v>
      </c>
      <c r="I393" s="62">
        <f t="shared" si="92"/>
        <v>3037.6999999999998</v>
      </c>
      <c r="J393" s="62">
        <v>3037.6999999999998</v>
      </c>
      <c r="K393" s="62">
        <v>0</v>
      </c>
      <c r="L393" s="62">
        <v>0</v>
      </c>
      <c r="M393" s="62">
        <f t="shared" si="91"/>
        <v>0</v>
      </c>
      <c r="N393" s="62">
        <v>0</v>
      </c>
      <c r="O393" s="62">
        <v>0</v>
      </c>
      <c r="P393" s="62">
        <v>0</v>
      </c>
      <c r="Q393" s="131"/>
      <c r="R393" s="35"/>
      <c r="W393" s="32">
        <f t="shared" si="87"/>
        <v>0</v>
      </c>
    </row>
    <row r="394" ht="15.75">
      <c r="A394" s="28"/>
      <c r="B394" s="94"/>
      <c r="C394" s="11"/>
      <c r="D394" s="14"/>
      <c r="E394" s="11"/>
      <c r="F394" s="11" t="s">
        <v>30</v>
      </c>
      <c r="G394" s="62">
        <f t="shared" si="89"/>
        <v>3821.8000000000002</v>
      </c>
      <c r="H394" s="62">
        <f t="shared" si="90"/>
        <v>3821.8000000000002</v>
      </c>
      <c r="I394" s="62">
        <v>3821.8000000000002</v>
      </c>
      <c r="J394" s="62">
        <f>I394</f>
        <v>3821.8000000000002</v>
      </c>
      <c r="K394" s="62">
        <v>0</v>
      </c>
      <c r="L394" s="62">
        <v>0</v>
      </c>
      <c r="M394" s="62">
        <v>0</v>
      </c>
      <c r="N394" s="62">
        <v>0</v>
      </c>
      <c r="O394" s="62">
        <v>0</v>
      </c>
      <c r="P394" s="62">
        <v>0</v>
      </c>
      <c r="Q394" s="131"/>
      <c r="R394" s="35"/>
      <c r="W394" s="32">
        <f t="shared" si="87"/>
        <v>0</v>
      </c>
    </row>
    <row r="395" s="76" customFormat="1">
      <c r="A395" s="28"/>
      <c r="B395" s="94"/>
      <c r="C395" s="11"/>
      <c r="D395" s="14"/>
      <c r="E395" s="11"/>
      <c r="F395" s="77" t="s">
        <v>31</v>
      </c>
      <c r="G395" s="78">
        <f t="shared" si="89"/>
        <v>4371.6999999999998</v>
      </c>
      <c r="H395" s="78">
        <f t="shared" si="90"/>
        <v>4371.6999999999998</v>
      </c>
      <c r="I395" s="78">
        <f t="shared" si="92"/>
        <v>4371.6999999999998</v>
      </c>
      <c r="J395" s="78">
        <v>4371.6999999999998</v>
      </c>
      <c r="K395" s="78">
        <v>0</v>
      </c>
      <c r="L395" s="78">
        <v>0</v>
      </c>
      <c r="M395" s="78">
        <v>0</v>
      </c>
      <c r="N395" s="78">
        <v>0</v>
      </c>
      <c r="O395" s="78">
        <v>0</v>
      </c>
      <c r="P395" s="78">
        <v>0</v>
      </c>
      <c r="Q395" s="131"/>
      <c r="R395" s="68"/>
      <c r="W395" s="70">
        <f t="shared" si="87"/>
        <v>0</v>
      </c>
    </row>
    <row r="396" ht="15.75">
      <c r="A396" s="28"/>
      <c r="B396" s="94"/>
      <c r="C396" s="11"/>
      <c r="D396" s="14"/>
      <c r="E396" s="11"/>
      <c r="F396" s="11" t="s">
        <v>32</v>
      </c>
      <c r="G396" s="62">
        <f t="shared" si="89"/>
        <v>3398.8000000000002</v>
      </c>
      <c r="H396" s="62">
        <f t="shared" si="90"/>
        <v>2190.5999999999999</v>
      </c>
      <c r="I396" s="62">
        <v>3398.8000000000002</v>
      </c>
      <c r="J396" s="62">
        <v>2190.5999999999999</v>
      </c>
      <c r="K396" s="62">
        <v>0</v>
      </c>
      <c r="L396" s="62">
        <v>0</v>
      </c>
      <c r="M396" s="62">
        <v>0</v>
      </c>
      <c r="N396" s="62">
        <v>0</v>
      </c>
      <c r="O396" s="62">
        <v>0</v>
      </c>
      <c r="P396" s="62">
        <v>0</v>
      </c>
      <c r="Q396" s="131"/>
      <c r="R396" s="35"/>
      <c r="W396" s="32">
        <f t="shared" si="87"/>
        <v>1208.2000000000003</v>
      </c>
      <c r="AB396" s="74"/>
    </row>
    <row r="397" ht="15.75">
      <c r="A397" s="28"/>
      <c r="B397" s="94"/>
      <c r="C397" s="11"/>
      <c r="D397" s="14"/>
      <c r="E397" s="11"/>
      <c r="F397" s="11" t="s">
        <v>33</v>
      </c>
      <c r="G397" s="62">
        <f t="shared" si="89"/>
        <v>3398.8000000000002</v>
      </c>
      <c r="H397" s="62">
        <f t="shared" si="90"/>
        <v>2190.5999999999999</v>
      </c>
      <c r="I397" s="62">
        <f>I396</f>
        <v>3398.8000000000002</v>
      </c>
      <c r="J397" s="62">
        <v>2190.5999999999999</v>
      </c>
      <c r="K397" s="62">
        <v>0</v>
      </c>
      <c r="L397" s="62">
        <v>0</v>
      </c>
      <c r="M397" s="62">
        <v>0</v>
      </c>
      <c r="N397" s="62">
        <v>0</v>
      </c>
      <c r="O397" s="62">
        <v>0</v>
      </c>
      <c r="P397" s="62">
        <v>0</v>
      </c>
      <c r="Q397" s="131"/>
      <c r="R397" s="35"/>
      <c r="W397" s="32">
        <f t="shared" si="87"/>
        <v>1208.2000000000003</v>
      </c>
    </row>
    <row r="398" ht="15.75">
      <c r="A398" s="49"/>
      <c r="B398" s="97"/>
      <c r="C398" s="11"/>
      <c r="D398" s="16"/>
      <c r="E398" s="11"/>
      <c r="F398" s="11" t="s">
        <v>34</v>
      </c>
      <c r="G398" s="62">
        <f t="shared" si="89"/>
        <v>3398.8000000000002</v>
      </c>
      <c r="H398" s="62">
        <f t="shared" si="90"/>
        <v>0</v>
      </c>
      <c r="I398" s="62">
        <v>3398.8000000000002</v>
      </c>
      <c r="J398" s="62">
        <v>0</v>
      </c>
      <c r="K398" s="62">
        <v>0</v>
      </c>
      <c r="L398" s="62">
        <v>0</v>
      </c>
      <c r="M398" s="62">
        <v>0</v>
      </c>
      <c r="N398" s="62">
        <v>0</v>
      </c>
      <c r="O398" s="62">
        <v>0</v>
      </c>
      <c r="P398" s="62">
        <v>0</v>
      </c>
      <c r="Q398" s="131"/>
      <c r="R398" s="35"/>
      <c r="W398" s="32">
        <f t="shared" si="87"/>
        <v>3398.8000000000002</v>
      </c>
    </row>
    <row r="399" ht="15.75" hidden="1">
      <c r="A399" s="49"/>
      <c r="B399" s="72"/>
      <c r="C399" s="11"/>
      <c r="D399" s="11"/>
      <c r="E399" s="11"/>
      <c r="F399" s="11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59"/>
      <c r="R399" s="35"/>
      <c r="W399" s="32">
        <f t="shared" si="87"/>
        <v>0</v>
      </c>
    </row>
    <row r="400" s="26" customFormat="1" ht="35.25" hidden="1" customHeight="1">
      <c r="A400" s="22"/>
      <c r="B400" s="72"/>
      <c r="C400" s="105"/>
      <c r="D400" s="105"/>
      <c r="E400" s="11"/>
      <c r="F400" s="11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0"/>
      <c r="R400" s="35"/>
      <c r="W400" s="32">
        <f t="shared" si="87"/>
        <v>0</v>
      </c>
    </row>
    <row r="401" s="26" customFormat="1" ht="15.75" hidden="1" customHeight="1">
      <c r="A401" s="28"/>
      <c r="B401" s="72"/>
      <c r="C401" s="126"/>
      <c r="D401" s="126"/>
      <c r="E401" s="11"/>
      <c r="F401" s="11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0"/>
      <c r="R401" s="35"/>
      <c r="W401" s="32">
        <f t="shared" si="87"/>
        <v>0</v>
      </c>
    </row>
    <row r="402" s="26" customFormat="1" ht="15.6" hidden="1" customHeight="1">
      <c r="A402" s="28"/>
      <c r="B402" s="72"/>
      <c r="C402" s="126"/>
      <c r="D402" s="126"/>
      <c r="E402" s="11"/>
      <c r="F402" s="11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0"/>
      <c r="R402" s="35"/>
      <c r="W402" s="32">
        <f t="shared" si="87"/>
        <v>0</v>
      </c>
      <c r="Z402" s="37"/>
    </row>
    <row r="403" s="26" customFormat="1" hidden="1">
      <c r="A403" s="28"/>
      <c r="B403" s="72"/>
      <c r="C403" s="11"/>
      <c r="D403" s="11"/>
      <c r="E403" s="11"/>
      <c r="F403" s="11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0"/>
      <c r="R403" s="35"/>
      <c r="W403" s="32">
        <f t="shared" si="87"/>
        <v>0</v>
      </c>
    </row>
    <row r="404" s="26" customFormat="1" hidden="1">
      <c r="A404" s="28"/>
      <c r="B404" s="72"/>
      <c r="C404" s="11"/>
      <c r="D404" s="11"/>
      <c r="E404" s="105"/>
      <c r="F404" s="11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0"/>
      <c r="R404" s="35"/>
      <c r="W404" s="32">
        <f t="shared" si="87"/>
        <v>0</v>
      </c>
    </row>
    <row r="405" s="26" customFormat="1" hidden="1">
      <c r="A405" s="28"/>
      <c r="B405" s="72"/>
      <c r="C405" s="11"/>
      <c r="D405" s="11"/>
      <c r="E405" s="126"/>
      <c r="F405" s="11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99"/>
      <c r="R405" s="35"/>
      <c r="W405" s="32">
        <f t="shared" si="87"/>
        <v>0</v>
      </c>
    </row>
    <row r="406" s="26" customFormat="1" ht="15.75" hidden="1" customHeight="1">
      <c r="A406" s="28"/>
      <c r="B406" s="107"/>
      <c r="C406" s="12"/>
      <c r="D406" s="12"/>
      <c r="E406" s="126"/>
      <c r="F406" s="11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131"/>
      <c r="R406" s="35"/>
      <c r="W406" s="32">
        <f t="shared" si="87"/>
        <v>0</v>
      </c>
    </row>
    <row r="407" s="8" customFormat="1" hidden="1">
      <c r="A407" s="28"/>
      <c r="B407" s="107"/>
      <c r="C407" s="14"/>
      <c r="D407" s="14"/>
      <c r="E407" s="11"/>
      <c r="F407" s="11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131"/>
      <c r="R407" s="108"/>
      <c r="W407" s="32">
        <f t="shared" si="87"/>
        <v>0</v>
      </c>
    </row>
    <row r="408" ht="15.75" hidden="1">
      <c r="A408" s="28"/>
      <c r="B408" s="107"/>
      <c r="C408" s="14"/>
      <c r="D408" s="14"/>
      <c r="E408" s="11"/>
      <c r="F408" s="11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131"/>
      <c r="R408" s="35"/>
      <c r="W408" s="32">
        <f t="shared" si="87"/>
        <v>0</v>
      </c>
    </row>
    <row r="409" ht="15" hidden="1" customHeight="1">
      <c r="A409" s="28"/>
      <c r="B409" s="107"/>
      <c r="C409" s="16"/>
      <c r="D409" s="16"/>
      <c r="E409" s="11"/>
      <c r="F409" s="11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131"/>
      <c r="R409" s="35"/>
      <c r="W409" s="32">
        <f t="shared" si="87"/>
        <v>0</v>
      </c>
    </row>
    <row r="410" ht="15.75" hidden="1">
      <c r="A410" s="28"/>
      <c r="B410" s="107"/>
      <c r="C410" s="11"/>
      <c r="D410" s="11"/>
      <c r="E410" s="12"/>
      <c r="F410" s="11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131"/>
      <c r="R410" s="35"/>
      <c r="W410" s="32">
        <f t="shared" si="87"/>
        <v>0</v>
      </c>
    </row>
    <row r="411" ht="15.75" hidden="1">
      <c r="A411" s="28"/>
      <c r="B411" s="107"/>
      <c r="C411" s="11"/>
      <c r="D411" s="11"/>
      <c r="E411" s="14"/>
      <c r="F411" s="11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131"/>
      <c r="R411" s="35"/>
      <c r="W411" s="32">
        <f t="shared" si="87"/>
        <v>0</v>
      </c>
    </row>
    <row r="412" ht="15.75" hidden="1">
      <c r="A412" s="28"/>
      <c r="B412" s="110"/>
      <c r="C412" s="11"/>
      <c r="D412" s="11"/>
      <c r="E412" s="14"/>
      <c r="F412" s="11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131"/>
      <c r="R412" s="35"/>
      <c r="W412" s="32">
        <f t="shared" si="87"/>
        <v>0</v>
      </c>
    </row>
    <row r="413" s="26" customFormat="1" ht="15.75" hidden="1" customHeight="1">
      <c r="A413" s="28"/>
      <c r="B413" s="107"/>
      <c r="C413" s="12"/>
      <c r="D413" s="12"/>
      <c r="E413" s="16"/>
      <c r="F413" s="11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131"/>
      <c r="R413" s="35"/>
      <c r="W413" s="32">
        <f t="shared" si="87"/>
        <v>0</v>
      </c>
    </row>
    <row r="414" s="8" customFormat="1" hidden="1">
      <c r="A414" s="28"/>
      <c r="B414" s="107"/>
      <c r="C414" s="14"/>
      <c r="D414" s="14"/>
      <c r="E414" s="11"/>
      <c r="F414" s="11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131"/>
      <c r="R414" s="108"/>
      <c r="W414" s="32">
        <f t="shared" si="87"/>
        <v>0</v>
      </c>
    </row>
    <row r="415" ht="15.75" hidden="1">
      <c r="A415" s="28"/>
      <c r="B415" s="107"/>
      <c r="C415" s="14"/>
      <c r="D415" s="14"/>
      <c r="E415" s="11"/>
      <c r="F415" s="11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131"/>
      <c r="R415" s="35"/>
      <c r="W415" s="32">
        <f t="shared" si="87"/>
        <v>0</v>
      </c>
    </row>
    <row r="416" ht="15" hidden="1" customHeight="1">
      <c r="A416" s="28"/>
      <c r="B416" s="107"/>
      <c r="C416" s="16"/>
      <c r="D416" s="16"/>
      <c r="E416" s="11"/>
      <c r="F416" s="11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131"/>
      <c r="R416" s="35"/>
      <c r="W416" s="32">
        <f t="shared" si="87"/>
        <v>0</v>
      </c>
    </row>
    <row r="417" ht="15.75" hidden="1">
      <c r="A417" s="28"/>
      <c r="B417" s="107"/>
      <c r="C417" s="11"/>
      <c r="D417" s="11"/>
      <c r="E417" s="12"/>
      <c r="F417" s="11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131"/>
      <c r="R417" s="35"/>
      <c r="W417" s="32">
        <f t="shared" si="87"/>
        <v>0</v>
      </c>
    </row>
    <row r="418" ht="15.75" hidden="1">
      <c r="A418" s="28"/>
      <c r="B418" s="107"/>
      <c r="C418" s="11"/>
      <c r="D418" s="11"/>
      <c r="E418" s="14"/>
      <c r="F418" s="11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131"/>
      <c r="R418" s="35"/>
      <c r="W418" s="32">
        <f t="shared" si="87"/>
        <v>0</v>
      </c>
    </row>
    <row r="419" ht="15.75" hidden="1">
      <c r="A419" s="28"/>
      <c r="B419" s="110"/>
      <c r="C419" s="11"/>
      <c r="D419" s="11"/>
      <c r="E419" s="14"/>
      <c r="F419" s="11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131"/>
      <c r="R419" s="35"/>
      <c r="W419" s="32">
        <f t="shared" si="87"/>
        <v>0</v>
      </c>
    </row>
    <row r="420" s="26" customFormat="1" ht="15.75" hidden="1" customHeight="1">
      <c r="A420" s="28"/>
      <c r="B420" s="107"/>
      <c r="C420" s="12"/>
      <c r="D420" s="12"/>
      <c r="E420" s="16"/>
      <c r="F420" s="11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131"/>
      <c r="R420" s="35"/>
      <c r="W420" s="32">
        <f t="shared" si="87"/>
        <v>0</v>
      </c>
    </row>
    <row r="421" s="8" customFormat="1" hidden="1">
      <c r="A421" s="28"/>
      <c r="B421" s="107"/>
      <c r="C421" s="14"/>
      <c r="D421" s="14"/>
      <c r="E421" s="11"/>
      <c r="F421" s="11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131"/>
      <c r="R421" s="108"/>
      <c r="W421" s="32">
        <f t="shared" si="87"/>
        <v>0</v>
      </c>
    </row>
    <row r="422" ht="15.75" hidden="1">
      <c r="A422" s="28"/>
      <c r="B422" s="107"/>
      <c r="C422" s="14"/>
      <c r="D422" s="14"/>
      <c r="E422" s="11"/>
      <c r="F422" s="11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131"/>
      <c r="R422" s="35"/>
      <c r="W422" s="32">
        <f t="shared" si="87"/>
        <v>0</v>
      </c>
    </row>
    <row r="423" ht="15" hidden="1" customHeight="1">
      <c r="A423" s="28"/>
      <c r="B423" s="107"/>
      <c r="C423" s="16"/>
      <c r="D423" s="16"/>
      <c r="E423" s="11"/>
      <c r="F423" s="11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131"/>
      <c r="R423" s="35"/>
      <c r="W423" s="32">
        <f t="shared" si="87"/>
        <v>0</v>
      </c>
    </row>
    <row r="424" ht="15.75" hidden="1">
      <c r="A424" s="28"/>
      <c r="B424" s="107"/>
      <c r="C424" s="11"/>
      <c r="D424" s="11"/>
      <c r="E424" s="12"/>
      <c r="F424" s="11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131"/>
      <c r="R424" s="35"/>
      <c r="W424" s="32">
        <f t="shared" si="87"/>
        <v>0</v>
      </c>
    </row>
    <row r="425" ht="15.75" hidden="1">
      <c r="A425" s="28"/>
      <c r="B425" s="107"/>
      <c r="C425" s="11"/>
      <c r="D425" s="11"/>
      <c r="E425" s="14"/>
      <c r="F425" s="11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131"/>
      <c r="R425" s="35"/>
      <c r="W425" s="32">
        <f t="shared" si="87"/>
        <v>0</v>
      </c>
    </row>
    <row r="426" ht="15.75" hidden="1">
      <c r="A426" s="28"/>
      <c r="B426" s="110"/>
      <c r="C426" s="11"/>
      <c r="D426" s="11"/>
      <c r="E426" s="14"/>
      <c r="F426" s="11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131"/>
      <c r="R426" s="35"/>
      <c r="W426" s="32">
        <f t="shared" si="87"/>
        <v>0</v>
      </c>
    </row>
    <row r="427" s="26" customFormat="1" ht="15.75" hidden="1" customHeight="1">
      <c r="A427" s="28"/>
      <c r="B427" s="107"/>
      <c r="C427" s="12"/>
      <c r="D427" s="12"/>
      <c r="E427" s="16"/>
      <c r="F427" s="11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131"/>
      <c r="R427" s="35"/>
      <c r="W427" s="32">
        <f t="shared" si="87"/>
        <v>0</v>
      </c>
    </row>
    <row r="428" s="8" customFormat="1" hidden="1">
      <c r="A428" s="28"/>
      <c r="B428" s="107"/>
      <c r="C428" s="14"/>
      <c r="D428" s="14"/>
      <c r="E428" s="11"/>
      <c r="F428" s="11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131"/>
      <c r="R428" s="108"/>
      <c r="W428" s="32">
        <f t="shared" si="87"/>
        <v>0</v>
      </c>
    </row>
    <row r="429" ht="15.75" hidden="1">
      <c r="A429" s="28"/>
      <c r="B429" s="107"/>
      <c r="C429" s="14"/>
      <c r="D429" s="14"/>
      <c r="E429" s="11"/>
      <c r="F429" s="11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131"/>
      <c r="R429" s="35"/>
      <c r="W429" s="32">
        <f t="shared" si="87"/>
        <v>0</v>
      </c>
    </row>
    <row r="430" ht="15" hidden="1" customHeight="1">
      <c r="A430" s="28"/>
      <c r="B430" s="107"/>
      <c r="C430" s="16"/>
      <c r="D430" s="16"/>
      <c r="E430" s="11"/>
      <c r="F430" s="11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131"/>
      <c r="R430" s="35"/>
      <c r="W430" s="32">
        <f t="shared" si="87"/>
        <v>0</v>
      </c>
    </row>
    <row r="431" ht="15.75" hidden="1">
      <c r="A431" s="28"/>
      <c r="B431" s="107"/>
      <c r="C431" s="11"/>
      <c r="D431" s="11"/>
      <c r="E431" s="12"/>
      <c r="F431" s="11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131"/>
      <c r="R431" s="35"/>
      <c r="W431" s="32">
        <f t="shared" si="87"/>
        <v>0</v>
      </c>
    </row>
    <row r="432" ht="15.75" hidden="1">
      <c r="A432" s="28"/>
      <c r="B432" s="107"/>
      <c r="C432" s="11"/>
      <c r="D432" s="11"/>
      <c r="E432" s="14"/>
      <c r="F432" s="11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131"/>
      <c r="R432" s="35"/>
      <c r="W432" s="32">
        <f t="shared" si="87"/>
        <v>0</v>
      </c>
    </row>
    <row r="433" ht="15.75" hidden="1">
      <c r="A433" s="49"/>
      <c r="B433" s="110"/>
      <c r="C433" s="11"/>
      <c r="D433" s="11"/>
      <c r="E433" s="14"/>
      <c r="F433" s="11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31"/>
      <c r="R433" s="35"/>
      <c r="W433" s="32">
        <f t="shared" si="87"/>
        <v>0</v>
      </c>
    </row>
    <row r="434" ht="15.6" customHeight="1">
      <c r="A434" s="49"/>
      <c r="B434" s="58" t="s">
        <v>129</v>
      </c>
      <c r="C434" s="13"/>
      <c r="D434" s="22"/>
      <c r="E434" s="13"/>
      <c r="F434" s="13" t="s">
        <v>21</v>
      </c>
      <c r="G434" s="23">
        <f>SUM(G435:G445)</f>
        <v>40260</v>
      </c>
      <c r="H434" s="23">
        <f>SUM(H435:H445)</f>
        <v>10000</v>
      </c>
      <c r="I434" s="23">
        <f>SUM(I435:I445)</f>
        <v>5260</v>
      </c>
      <c r="J434" s="23">
        <f>SUM(J435:J445)</f>
        <v>0</v>
      </c>
      <c r="K434" s="23">
        <f>SUM(K435:K445)</f>
        <v>35000</v>
      </c>
      <c r="L434" s="23">
        <f>SUM(L435:L445)</f>
        <v>10000</v>
      </c>
      <c r="M434" s="23">
        <f>SUM(M435:M445)</f>
        <v>0</v>
      </c>
      <c r="N434" s="23">
        <f>SUM(N435:N445)</f>
        <v>0</v>
      </c>
      <c r="O434" s="23">
        <f>SUM(O435:O445)</f>
        <v>0</v>
      </c>
      <c r="P434" s="23">
        <f>SUM(P435:P445)</f>
        <v>0</v>
      </c>
      <c r="Q434" s="60"/>
      <c r="R434" s="35"/>
      <c r="W434" s="32">
        <f t="shared" si="87"/>
        <v>5260</v>
      </c>
    </row>
    <row r="435" s="26" customFormat="1" ht="35.25" hidden="1" customHeight="1">
      <c r="A435" s="22"/>
      <c r="B435" s="58" t="s">
        <v>130</v>
      </c>
      <c r="C435" s="13"/>
      <c r="D435" s="28"/>
      <c r="E435" s="13"/>
      <c r="F435" s="13" t="s">
        <v>23</v>
      </c>
      <c r="G435" s="23">
        <f t="shared" ref="G435:G445" si="93">I435+K435+M435+O435</f>
        <v>0</v>
      </c>
      <c r="H435" s="23">
        <f t="shared" ref="H435:H445" si="94">J435+L435+N435+P435</f>
        <v>0</v>
      </c>
      <c r="I435" s="23"/>
      <c r="J435" s="23"/>
      <c r="K435" s="23"/>
      <c r="L435" s="23"/>
      <c r="M435" s="23"/>
      <c r="N435" s="23"/>
      <c r="O435" s="23"/>
      <c r="P435" s="23"/>
      <c r="Q435" s="60"/>
      <c r="R435" s="35"/>
      <c r="W435" s="32">
        <f t="shared" si="87"/>
        <v>0</v>
      </c>
    </row>
    <row r="436" s="26" customFormat="1" ht="15.75" hidden="1" customHeight="1">
      <c r="A436" s="28"/>
      <c r="B436" s="58"/>
      <c r="C436" s="22" t="s">
        <v>131</v>
      </c>
      <c r="D436" s="28"/>
      <c r="E436" s="13"/>
      <c r="F436" s="13" t="s">
        <v>25</v>
      </c>
      <c r="G436" s="23">
        <f t="shared" si="93"/>
        <v>0</v>
      </c>
      <c r="H436" s="23">
        <f t="shared" si="94"/>
        <v>0</v>
      </c>
      <c r="I436" s="23"/>
      <c r="J436" s="23"/>
      <c r="K436" s="23"/>
      <c r="L436" s="23"/>
      <c r="M436" s="23"/>
      <c r="N436" s="23"/>
      <c r="O436" s="23"/>
      <c r="P436" s="23"/>
      <c r="Q436" s="60"/>
      <c r="R436" s="35"/>
      <c r="W436" s="32">
        <f t="shared" si="87"/>
        <v>0</v>
      </c>
    </row>
    <row r="437" s="26" customFormat="1" ht="15.6" hidden="1" customHeight="1">
      <c r="A437" s="28"/>
      <c r="B437" s="58"/>
      <c r="C437" s="28"/>
      <c r="D437" s="28"/>
      <c r="E437" s="13"/>
      <c r="F437" s="13" t="s">
        <v>26</v>
      </c>
      <c r="G437" s="23">
        <f t="shared" si="93"/>
        <v>0</v>
      </c>
      <c r="H437" s="23">
        <f t="shared" si="94"/>
        <v>0</v>
      </c>
      <c r="I437" s="23"/>
      <c r="J437" s="23"/>
      <c r="K437" s="23"/>
      <c r="L437" s="23"/>
      <c r="M437" s="23"/>
      <c r="N437" s="23"/>
      <c r="O437" s="23"/>
      <c r="P437" s="23"/>
      <c r="Q437" s="60"/>
      <c r="R437" s="35"/>
      <c r="W437" s="32">
        <f t="shared" si="87"/>
        <v>0</v>
      </c>
      <c r="Z437" s="37"/>
    </row>
    <row r="438" s="26" customFormat="1" ht="15.6" hidden="1" customHeight="1">
      <c r="A438" s="28"/>
      <c r="B438" s="58"/>
      <c r="C438" s="28"/>
      <c r="D438" s="28"/>
      <c r="E438" s="13"/>
      <c r="F438" s="13" t="s">
        <v>27</v>
      </c>
      <c r="G438" s="23">
        <f t="shared" si="93"/>
        <v>0</v>
      </c>
      <c r="H438" s="23">
        <f t="shared" si="94"/>
        <v>0</v>
      </c>
      <c r="I438" s="23"/>
      <c r="J438" s="23"/>
      <c r="K438" s="23"/>
      <c r="L438" s="23"/>
      <c r="M438" s="23"/>
      <c r="N438" s="23"/>
      <c r="O438" s="23"/>
      <c r="P438" s="23"/>
      <c r="Q438" s="60"/>
      <c r="R438" s="35"/>
      <c r="W438" s="32">
        <f t="shared" si="87"/>
        <v>0</v>
      </c>
    </row>
    <row r="439" s="26" customFormat="1">
      <c r="A439" s="28"/>
      <c r="B439" s="58"/>
      <c r="C439" s="28"/>
      <c r="D439" s="28"/>
      <c r="E439" s="13"/>
      <c r="F439" s="13" t="s">
        <v>28</v>
      </c>
      <c r="G439" s="23">
        <f t="shared" si="93"/>
        <v>5000</v>
      </c>
      <c r="H439" s="23">
        <f t="shared" si="94"/>
        <v>5000</v>
      </c>
      <c r="I439" s="23">
        <f>I451</f>
        <v>0</v>
      </c>
      <c r="J439" s="23">
        <f>J451</f>
        <v>0</v>
      </c>
      <c r="K439" s="23">
        <f>K451</f>
        <v>5000</v>
      </c>
      <c r="L439" s="23">
        <f>L451</f>
        <v>5000</v>
      </c>
      <c r="M439" s="23">
        <f>M451</f>
        <v>0</v>
      </c>
      <c r="N439" s="23">
        <f>N451</f>
        <v>0</v>
      </c>
      <c r="O439" s="23">
        <f>O451</f>
        <v>0</v>
      </c>
      <c r="P439" s="23">
        <f>P451</f>
        <v>0</v>
      </c>
      <c r="Q439" s="60"/>
      <c r="R439" s="35"/>
      <c r="W439" s="32">
        <f t="shared" si="87"/>
        <v>0</v>
      </c>
    </row>
    <row r="440" s="26" customFormat="1">
      <c r="A440" s="28"/>
      <c r="B440" s="58"/>
      <c r="C440" s="28"/>
      <c r="D440" s="28"/>
      <c r="E440" s="13"/>
      <c r="F440" s="13" t="s">
        <v>29</v>
      </c>
      <c r="G440" s="23">
        <f t="shared" si="93"/>
        <v>5260</v>
      </c>
      <c r="H440" s="23">
        <f t="shared" si="94"/>
        <v>0</v>
      </c>
      <c r="I440" s="23">
        <f>I452</f>
        <v>260</v>
      </c>
      <c r="J440" s="23">
        <f>J452</f>
        <v>0</v>
      </c>
      <c r="K440" s="23">
        <f>K452</f>
        <v>5000</v>
      </c>
      <c r="L440" s="23">
        <f>L452</f>
        <v>0</v>
      </c>
      <c r="M440" s="23">
        <f>M452</f>
        <v>0</v>
      </c>
      <c r="N440" s="23">
        <f>N452</f>
        <v>0</v>
      </c>
      <c r="O440" s="23">
        <f>O452</f>
        <v>0</v>
      </c>
      <c r="P440" s="23">
        <f>P452</f>
        <v>0</v>
      </c>
      <c r="Q440" s="60"/>
      <c r="R440" s="35"/>
      <c r="W440" s="32">
        <f t="shared" si="87"/>
        <v>260</v>
      </c>
    </row>
    <row r="441" s="26" customFormat="1">
      <c r="A441" s="28"/>
      <c r="B441" s="58"/>
      <c r="C441" s="28"/>
      <c r="D441" s="28"/>
      <c r="E441" s="13"/>
      <c r="F441" s="13" t="s">
        <v>30</v>
      </c>
      <c r="G441" s="23">
        <f t="shared" si="93"/>
        <v>6000</v>
      </c>
      <c r="H441" s="23">
        <f t="shared" si="94"/>
        <v>5000</v>
      </c>
      <c r="I441" s="23">
        <f>I453</f>
        <v>1000</v>
      </c>
      <c r="J441" s="23">
        <f>J453</f>
        <v>0</v>
      </c>
      <c r="K441" s="23">
        <f>K453</f>
        <v>5000</v>
      </c>
      <c r="L441" s="23">
        <f>L453</f>
        <v>5000</v>
      </c>
      <c r="M441" s="23">
        <f>M453</f>
        <v>0</v>
      </c>
      <c r="N441" s="23">
        <f>N453</f>
        <v>0</v>
      </c>
      <c r="O441" s="23">
        <f>O453</f>
        <v>0</v>
      </c>
      <c r="P441" s="23">
        <f>P453</f>
        <v>0</v>
      </c>
      <c r="Q441" s="60"/>
      <c r="R441" s="35"/>
      <c r="W441" s="32">
        <f t="shared" si="87"/>
        <v>1000</v>
      </c>
    </row>
    <row r="442" s="26" customFormat="1">
      <c r="A442" s="28"/>
      <c r="B442" s="58"/>
      <c r="C442" s="28"/>
      <c r="D442" s="28"/>
      <c r="E442" s="13"/>
      <c r="F442" s="13" t="s">
        <v>31</v>
      </c>
      <c r="G442" s="23">
        <f t="shared" si="93"/>
        <v>6000</v>
      </c>
      <c r="H442" s="23">
        <f t="shared" si="94"/>
        <v>0</v>
      </c>
      <c r="I442" s="23">
        <f>I454</f>
        <v>1000</v>
      </c>
      <c r="J442" s="23">
        <f>J454</f>
        <v>0</v>
      </c>
      <c r="K442" s="23">
        <f>K454</f>
        <v>5000</v>
      </c>
      <c r="L442" s="23">
        <f>L454</f>
        <v>0</v>
      </c>
      <c r="M442" s="23">
        <f>M454</f>
        <v>0</v>
      </c>
      <c r="N442" s="23">
        <f>N454</f>
        <v>0</v>
      </c>
      <c r="O442" s="23">
        <f>O454</f>
        <v>0</v>
      </c>
      <c r="P442" s="23">
        <f>P454</f>
        <v>0</v>
      </c>
      <c r="Q442" s="60"/>
      <c r="R442" s="35"/>
      <c r="W442" s="32">
        <f t="shared" si="87"/>
        <v>1000</v>
      </c>
    </row>
    <row r="443" s="26" customFormat="1">
      <c r="A443" s="28"/>
      <c r="B443" s="58"/>
      <c r="C443" s="28"/>
      <c r="D443" s="28"/>
      <c r="E443" s="13"/>
      <c r="F443" s="13" t="s">
        <v>32</v>
      </c>
      <c r="G443" s="23">
        <f t="shared" si="93"/>
        <v>6000</v>
      </c>
      <c r="H443" s="23">
        <f t="shared" si="94"/>
        <v>0</v>
      </c>
      <c r="I443" s="23">
        <f>I455</f>
        <v>1000</v>
      </c>
      <c r="J443" s="23">
        <f>J455</f>
        <v>0</v>
      </c>
      <c r="K443" s="23">
        <f>K455</f>
        <v>5000</v>
      </c>
      <c r="L443" s="23">
        <f>L455</f>
        <v>0</v>
      </c>
      <c r="M443" s="23">
        <f>M455</f>
        <v>0</v>
      </c>
      <c r="N443" s="23">
        <f>N455</f>
        <v>0</v>
      </c>
      <c r="O443" s="23">
        <f>O455</f>
        <v>0</v>
      </c>
      <c r="P443" s="23">
        <f>P455</f>
        <v>0</v>
      </c>
      <c r="Q443" s="60"/>
      <c r="R443" s="35"/>
      <c r="W443" s="32">
        <f t="shared" si="87"/>
        <v>1000</v>
      </c>
    </row>
    <row r="444" s="26" customFormat="1">
      <c r="A444" s="28"/>
      <c r="B444" s="58"/>
      <c r="C444" s="28"/>
      <c r="D444" s="28"/>
      <c r="E444" s="13"/>
      <c r="F444" s="13" t="s">
        <v>33</v>
      </c>
      <c r="G444" s="23">
        <f t="shared" si="93"/>
        <v>6000</v>
      </c>
      <c r="H444" s="23">
        <f t="shared" si="94"/>
        <v>0</v>
      </c>
      <c r="I444" s="23">
        <f>I456</f>
        <v>1000</v>
      </c>
      <c r="J444" s="23">
        <f>J456</f>
        <v>0</v>
      </c>
      <c r="K444" s="23">
        <f>K456</f>
        <v>5000</v>
      </c>
      <c r="L444" s="23">
        <f>L456</f>
        <v>0</v>
      </c>
      <c r="M444" s="23">
        <f>M456</f>
        <v>0</v>
      </c>
      <c r="N444" s="23">
        <f>N456</f>
        <v>0</v>
      </c>
      <c r="O444" s="23">
        <f>O456</f>
        <v>0</v>
      </c>
      <c r="P444" s="23">
        <f>P456</f>
        <v>0</v>
      </c>
      <c r="Q444" s="60"/>
      <c r="R444" s="35"/>
      <c r="W444" s="32">
        <f t="shared" si="87"/>
        <v>1000</v>
      </c>
    </row>
    <row r="445" s="26" customFormat="1">
      <c r="A445" s="49"/>
      <c r="B445" s="58"/>
      <c r="C445" s="49"/>
      <c r="D445" s="49"/>
      <c r="E445" s="13"/>
      <c r="F445" s="13" t="s">
        <v>34</v>
      </c>
      <c r="G445" s="23">
        <f t="shared" si="93"/>
        <v>6000</v>
      </c>
      <c r="H445" s="23">
        <f t="shared" si="94"/>
        <v>0</v>
      </c>
      <c r="I445" s="23">
        <f>I457</f>
        <v>1000</v>
      </c>
      <c r="J445" s="23">
        <f>J457</f>
        <v>0</v>
      </c>
      <c r="K445" s="23">
        <f>K457</f>
        <v>5000</v>
      </c>
      <c r="L445" s="23">
        <f>L457</f>
        <v>0</v>
      </c>
      <c r="M445" s="23">
        <f>M457</f>
        <v>0</v>
      </c>
      <c r="N445" s="23">
        <f>N457</f>
        <v>0</v>
      </c>
      <c r="O445" s="23">
        <f>O457</f>
        <v>0</v>
      </c>
      <c r="P445" s="23">
        <f>P457</f>
        <v>0</v>
      </c>
      <c r="Q445" s="60"/>
      <c r="R445" s="35"/>
      <c r="W445" s="32">
        <f t="shared" si="87"/>
        <v>1000</v>
      </c>
    </row>
    <row r="446" s="26" customFormat="1" ht="15.75" customHeight="1">
      <c r="A446" s="22"/>
      <c r="B446" s="107" t="s">
        <v>132</v>
      </c>
      <c r="C446" s="12"/>
      <c r="D446" s="12" t="s">
        <v>47</v>
      </c>
      <c r="E446" s="11" t="s">
        <v>133</v>
      </c>
      <c r="F446" s="11" t="s">
        <v>21</v>
      </c>
      <c r="G446" s="62">
        <f>SUM(G447:G457)</f>
        <v>40260</v>
      </c>
      <c r="H446" s="62">
        <f>SUM(H447:H457)</f>
        <v>10000</v>
      </c>
      <c r="I446" s="62">
        <f>SUM(I447:I457)</f>
        <v>5260</v>
      </c>
      <c r="J446" s="62">
        <f>SUM(J447:J457)</f>
        <v>0</v>
      </c>
      <c r="K446" s="62">
        <f>SUM(K447:K457)</f>
        <v>35000</v>
      </c>
      <c r="L446" s="62">
        <f>SUM(L447:L457)</f>
        <v>10000</v>
      </c>
      <c r="M446" s="62">
        <f>SUM(M447:M457)</f>
        <v>0</v>
      </c>
      <c r="N446" s="62">
        <f>SUM(N447:N457)</f>
        <v>0</v>
      </c>
      <c r="O446" s="62">
        <f>SUM(O447:O457)</f>
        <v>0</v>
      </c>
      <c r="P446" s="62">
        <f>SUM(P447:P457)</f>
        <v>0</v>
      </c>
      <c r="Q446" s="131" t="s">
        <v>36</v>
      </c>
      <c r="R446" s="35"/>
      <c r="W446" s="32">
        <f t="shared" ref="W446:W469" si="95">I446-J446</f>
        <v>5260</v>
      </c>
    </row>
    <row r="447" s="8" customFormat="1" ht="15.6" hidden="1" customHeight="1">
      <c r="A447" s="28"/>
      <c r="B447" s="107"/>
      <c r="C447" s="14"/>
      <c r="D447" s="14"/>
      <c r="E447" s="11"/>
      <c r="F447" s="11" t="s">
        <v>23</v>
      </c>
      <c r="G447" s="62">
        <f t="shared" ref="G447:G457" si="96">I447+K447+M447+O447</f>
        <v>0</v>
      </c>
      <c r="H447" s="62">
        <f t="shared" ref="H447:H457" si="97">J447+L447+N447+P447</f>
        <v>0</v>
      </c>
      <c r="I447" s="62"/>
      <c r="J447" s="62"/>
      <c r="K447" s="62"/>
      <c r="L447" s="62"/>
      <c r="M447" s="62"/>
      <c r="N447" s="62"/>
      <c r="O447" s="62"/>
      <c r="P447" s="62"/>
      <c r="Q447" s="131"/>
      <c r="R447" s="108"/>
      <c r="W447" s="32">
        <f t="shared" si="95"/>
        <v>0</v>
      </c>
    </row>
    <row r="448" ht="15.6" hidden="1" customHeight="1">
      <c r="A448" s="28"/>
      <c r="B448" s="107"/>
      <c r="C448" s="14"/>
      <c r="D448" s="14"/>
      <c r="E448" s="11"/>
      <c r="F448" s="11" t="s">
        <v>25</v>
      </c>
      <c r="G448" s="62">
        <f t="shared" si="96"/>
        <v>0</v>
      </c>
      <c r="H448" s="62">
        <f t="shared" si="97"/>
        <v>0</v>
      </c>
      <c r="I448" s="62"/>
      <c r="J448" s="62"/>
      <c r="K448" s="62"/>
      <c r="L448" s="62"/>
      <c r="M448" s="62"/>
      <c r="N448" s="62"/>
      <c r="O448" s="62"/>
      <c r="P448" s="62"/>
      <c r="Q448" s="131"/>
      <c r="R448" s="35"/>
      <c r="W448" s="32">
        <f t="shared" si="95"/>
        <v>0</v>
      </c>
    </row>
    <row r="449" ht="15" hidden="1" customHeight="1">
      <c r="A449" s="28"/>
      <c r="B449" s="107"/>
      <c r="C449" s="16"/>
      <c r="D449" s="14"/>
      <c r="E449" s="11"/>
      <c r="F449" s="11" t="s">
        <v>26</v>
      </c>
      <c r="G449" s="62">
        <f t="shared" si="96"/>
        <v>0</v>
      </c>
      <c r="H449" s="62">
        <f t="shared" si="97"/>
        <v>0</v>
      </c>
      <c r="I449" s="62"/>
      <c r="J449" s="62"/>
      <c r="K449" s="62"/>
      <c r="L449" s="62"/>
      <c r="M449" s="62"/>
      <c r="N449" s="62"/>
      <c r="O449" s="62"/>
      <c r="P449" s="62"/>
      <c r="Q449" s="131"/>
      <c r="R449" s="35"/>
      <c r="W449" s="32">
        <f t="shared" si="95"/>
        <v>0</v>
      </c>
    </row>
    <row r="450" ht="15.6" hidden="1" customHeight="1">
      <c r="A450" s="28"/>
      <c r="B450" s="107"/>
      <c r="C450" s="11" t="s">
        <v>134</v>
      </c>
      <c r="D450" s="14"/>
      <c r="E450" s="11"/>
      <c r="F450" s="11" t="s">
        <v>27</v>
      </c>
      <c r="G450" s="62">
        <f t="shared" si="96"/>
        <v>0</v>
      </c>
      <c r="H450" s="62">
        <f t="shared" si="97"/>
        <v>0</v>
      </c>
      <c r="I450" s="62"/>
      <c r="J450" s="62"/>
      <c r="K450" s="62"/>
      <c r="L450" s="62"/>
      <c r="M450" s="62"/>
      <c r="N450" s="62"/>
      <c r="O450" s="62"/>
      <c r="P450" s="62"/>
      <c r="Q450" s="131"/>
      <c r="R450" s="35"/>
      <c r="W450" s="32">
        <f t="shared" si="95"/>
        <v>0</v>
      </c>
    </row>
    <row r="451" ht="15.75">
      <c r="A451" s="28"/>
      <c r="B451" s="107"/>
      <c r="C451" s="11"/>
      <c r="D451" s="14"/>
      <c r="E451" s="11"/>
      <c r="F451" s="11" t="s">
        <v>28</v>
      </c>
      <c r="G451" s="62">
        <f t="shared" si="96"/>
        <v>5000</v>
      </c>
      <c r="H451" s="62">
        <f t="shared" si="97"/>
        <v>5000</v>
      </c>
      <c r="I451" s="62">
        <v>0</v>
      </c>
      <c r="J451" s="62">
        <v>0</v>
      </c>
      <c r="K451" s="62">
        <v>5000</v>
      </c>
      <c r="L451" s="62">
        <f>K451</f>
        <v>5000</v>
      </c>
      <c r="M451" s="62">
        <v>0</v>
      </c>
      <c r="N451" s="62">
        <v>0</v>
      </c>
      <c r="O451" s="62">
        <v>0</v>
      </c>
      <c r="P451" s="62">
        <f>O451</f>
        <v>0</v>
      </c>
      <c r="Q451" s="131"/>
      <c r="R451" s="35"/>
      <c r="W451" s="32">
        <f t="shared" si="95"/>
        <v>0</v>
      </c>
    </row>
    <row r="452" ht="15.75">
      <c r="A452" s="28"/>
      <c r="B452" s="107"/>
      <c r="C452" s="11"/>
      <c r="D452" s="14"/>
      <c r="E452" s="11"/>
      <c r="F452" s="11" t="s">
        <v>29</v>
      </c>
      <c r="G452" s="62">
        <f t="shared" si="96"/>
        <v>5260</v>
      </c>
      <c r="H452" s="62">
        <f t="shared" si="97"/>
        <v>0</v>
      </c>
      <c r="I452" s="62">
        <v>260</v>
      </c>
      <c r="J452" s="62">
        <v>0</v>
      </c>
      <c r="K452" s="62">
        <v>5000</v>
      </c>
      <c r="L452" s="62">
        <v>0</v>
      </c>
      <c r="M452" s="62">
        <v>0</v>
      </c>
      <c r="N452" s="62">
        <v>0</v>
      </c>
      <c r="O452" s="62">
        <v>0</v>
      </c>
      <c r="P452" s="62">
        <v>0</v>
      </c>
      <c r="Q452" s="131"/>
      <c r="R452" s="35"/>
      <c r="W452" s="32">
        <f t="shared" si="95"/>
        <v>260</v>
      </c>
    </row>
    <row r="453" ht="15.75">
      <c r="A453" s="28"/>
      <c r="B453" s="107"/>
      <c r="C453" s="11"/>
      <c r="D453" s="14"/>
      <c r="E453" s="11"/>
      <c r="F453" s="11" t="s">
        <v>30</v>
      </c>
      <c r="G453" s="62">
        <f t="shared" si="96"/>
        <v>6000</v>
      </c>
      <c r="H453" s="62">
        <f t="shared" si="97"/>
        <v>5000</v>
      </c>
      <c r="I453" s="62">
        <v>1000</v>
      </c>
      <c r="J453" s="62">
        <v>0</v>
      </c>
      <c r="K453" s="62">
        <v>5000</v>
      </c>
      <c r="L453" s="62">
        <v>5000</v>
      </c>
      <c r="M453" s="62">
        <v>0</v>
      </c>
      <c r="N453" s="62">
        <v>0</v>
      </c>
      <c r="O453" s="62">
        <v>0</v>
      </c>
      <c r="P453" s="62">
        <v>0</v>
      </c>
      <c r="Q453" s="131"/>
      <c r="R453" s="35"/>
      <c r="W453" s="32">
        <f t="shared" si="95"/>
        <v>1000</v>
      </c>
    </row>
    <row r="454" ht="15.75">
      <c r="A454" s="28"/>
      <c r="B454" s="107"/>
      <c r="C454" s="11"/>
      <c r="D454" s="14"/>
      <c r="E454" s="11"/>
      <c r="F454" s="11" t="s">
        <v>31</v>
      </c>
      <c r="G454" s="62">
        <f t="shared" si="96"/>
        <v>6000</v>
      </c>
      <c r="H454" s="62">
        <f t="shared" si="97"/>
        <v>0</v>
      </c>
      <c r="I454" s="62">
        <v>1000</v>
      </c>
      <c r="J454" s="62">
        <v>0</v>
      </c>
      <c r="K454" s="62">
        <v>5000</v>
      </c>
      <c r="L454" s="62">
        <v>0</v>
      </c>
      <c r="M454" s="62">
        <v>0</v>
      </c>
      <c r="N454" s="62">
        <v>0</v>
      </c>
      <c r="O454" s="62">
        <v>0</v>
      </c>
      <c r="P454" s="62">
        <v>0</v>
      </c>
      <c r="Q454" s="131"/>
      <c r="R454" s="35"/>
      <c r="W454" s="32">
        <f t="shared" si="95"/>
        <v>1000</v>
      </c>
    </row>
    <row r="455" ht="15.75">
      <c r="A455" s="28"/>
      <c r="B455" s="107"/>
      <c r="C455" s="11"/>
      <c r="D455" s="14"/>
      <c r="E455" s="11"/>
      <c r="F455" s="11" t="s">
        <v>32</v>
      </c>
      <c r="G455" s="62">
        <f t="shared" si="96"/>
        <v>6000</v>
      </c>
      <c r="H455" s="62">
        <f t="shared" si="97"/>
        <v>0</v>
      </c>
      <c r="I455" s="62">
        <v>1000</v>
      </c>
      <c r="J455" s="62">
        <v>0</v>
      </c>
      <c r="K455" s="62">
        <v>5000</v>
      </c>
      <c r="L455" s="62">
        <v>0</v>
      </c>
      <c r="M455" s="62">
        <v>0</v>
      </c>
      <c r="N455" s="62">
        <v>0</v>
      </c>
      <c r="O455" s="62">
        <v>0</v>
      </c>
      <c r="P455" s="62">
        <v>0</v>
      </c>
      <c r="Q455" s="131"/>
      <c r="R455" s="35"/>
      <c r="W455" s="32">
        <f t="shared" si="95"/>
        <v>1000</v>
      </c>
    </row>
    <row r="456" ht="15.75">
      <c r="A456" s="28"/>
      <c r="B456" s="107"/>
      <c r="C456" s="11"/>
      <c r="D456" s="14"/>
      <c r="E456" s="11"/>
      <c r="F456" s="11" t="s">
        <v>33</v>
      </c>
      <c r="G456" s="62">
        <f t="shared" si="96"/>
        <v>6000</v>
      </c>
      <c r="H456" s="62">
        <f t="shared" si="97"/>
        <v>0</v>
      </c>
      <c r="I456" s="62">
        <v>1000</v>
      </c>
      <c r="J456" s="62">
        <v>0</v>
      </c>
      <c r="K456" s="62">
        <v>5000</v>
      </c>
      <c r="L456" s="62">
        <v>0</v>
      </c>
      <c r="M456" s="62">
        <v>0</v>
      </c>
      <c r="N456" s="62">
        <v>0</v>
      </c>
      <c r="O456" s="62">
        <v>0</v>
      </c>
      <c r="P456" s="62">
        <v>0</v>
      </c>
      <c r="Q456" s="131"/>
      <c r="R456" s="35"/>
      <c r="W456" s="32">
        <f t="shared" si="95"/>
        <v>1000</v>
      </c>
    </row>
    <row r="457" ht="31.149999999999999" customHeight="1">
      <c r="A457" s="49"/>
      <c r="B457" s="110"/>
      <c r="C457" s="11"/>
      <c r="D457" s="16"/>
      <c r="E457" s="11"/>
      <c r="F457" s="11" t="s">
        <v>34</v>
      </c>
      <c r="G457" s="62">
        <f t="shared" si="96"/>
        <v>6000</v>
      </c>
      <c r="H457" s="62">
        <f t="shared" si="97"/>
        <v>0</v>
      </c>
      <c r="I457" s="62">
        <v>1000</v>
      </c>
      <c r="J457" s="62">
        <v>0</v>
      </c>
      <c r="K457" s="62">
        <v>5000</v>
      </c>
      <c r="L457" s="62">
        <v>0</v>
      </c>
      <c r="M457" s="62">
        <v>0</v>
      </c>
      <c r="N457" s="62">
        <v>0</v>
      </c>
      <c r="O457" s="62">
        <v>0</v>
      </c>
      <c r="P457" s="62">
        <v>0</v>
      </c>
      <c r="Q457" s="131"/>
      <c r="R457" s="35"/>
      <c r="W457" s="32">
        <f t="shared" si="95"/>
        <v>1000</v>
      </c>
    </row>
    <row r="458" ht="15.75">
      <c r="A458" s="13"/>
      <c r="B458" s="58" t="s">
        <v>135</v>
      </c>
      <c r="C458" s="22"/>
      <c r="D458" s="22"/>
      <c r="E458" s="22"/>
      <c r="F458" s="13" t="s">
        <v>21</v>
      </c>
      <c r="G458" s="23">
        <f>SUM(G459:G469)</f>
        <v>6338224.006000001</v>
      </c>
      <c r="H458" s="23">
        <f>SUM(H459:H469)-0.1</f>
        <v>5150058.5259999996</v>
      </c>
      <c r="I458" s="23">
        <f>SUM(I459:I469)</f>
        <v>4043890.4100000001</v>
      </c>
      <c r="J458" s="23">
        <f>SUM(J459:J469)-0.1</f>
        <v>3504885.2499999995</v>
      </c>
      <c r="K458" s="23">
        <f>SUM(K459:K469)</f>
        <v>46152.300000000003</v>
      </c>
      <c r="L458" s="23">
        <f>SUM(L459:L469)</f>
        <v>11494.5</v>
      </c>
      <c r="M458" s="23">
        <f>SUM(M459:M469)</f>
        <v>1426542.0959999999</v>
      </c>
      <c r="N458" s="23">
        <f>SUM(N459:N469)</f>
        <v>876472.37600000016</v>
      </c>
      <c r="O458" s="23">
        <f>SUM(O459:O469)</f>
        <v>821639.20000000007</v>
      </c>
      <c r="P458" s="23">
        <f>SUM(P459:P469)</f>
        <v>757206.40000000002</v>
      </c>
      <c r="Q458" s="143"/>
      <c r="R458" s="35"/>
      <c r="W458" s="32">
        <f t="shared" si="95"/>
        <v>539005.16000000061</v>
      </c>
    </row>
    <row r="459" s="26" customFormat="1">
      <c r="A459" s="13"/>
      <c r="B459" s="58"/>
      <c r="C459" s="28"/>
      <c r="D459" s="28"/>
      <c r="E459" s="28"/>
      <c r="F459" s="13" t="s">
        <v>23</v>
      </c>
      <c r="G459" s="23">
        <f>I459+K459+M459+O459</f>
        <v>423497.10000000003</v>
      </c>
      <c r="H459" s="23">
        <f>J459+L459+N459+P459</f>
        <v>369330.50000000006</v>
      </c>
      <c r="I459" s="23">
        <f>I55+I117+I160+I248</f>
        <v>287073</v>
      </c>
      <c r="J459" s="23">
        <f>J55+J117+J160+J248</f>
        <v>242825.40000000002</v>
      </c>
      <c r="K459" s="23">
        <f>K55+K117+K160+K248</f>
        <v>3225</v>
      </c>
      <c r="L459" s="23">
        <f>L55+L117+L160+L248</f>
        <v>0</v>
      </c>
      <c r="M459" s="23">
        <f>M55+M117+M160+M248</f>
        <v>69836.899999999994</v>
      </c>
      <c r="N459" s="23">
        <f>N55+N117+N160+N248</f>
        <v>63142.900000000001</v>
      </c>
      <c r="O459" s="23">
        <f>O55+O117+O160+O248</f>
        <v>63362.199999999997</v>
      </c>
      <c r="P459" s="23">
        <f>P55+P117+P160+P248</f>
        <v>63362.199999999997</v>
      </c>
      <c r="Q459" s="143"/>
      <c r="R459" s="35"/>
      <c r="S459" s="11"/>
      <c r="T459" s="11"/>
      <c r="W459" s="32">
        <f t="shared" si="95"/>
        <v>44247.599999999977</v>
      </c>
    </row>
    <row r="460" s="26" customFormat="1">
      <c r="A460" s="13"/>
      <c r="B460" s="58"/>
      <c r="C460" s="28"/>
      <c r="D460" s="28"/>
      <c r="E460" s="28"/>
      <c r="F460" s="13" t="s">
        <v>25</v>
      </c>
      <c r="G460" s="23">
        <f>I460+K460+M460+O460</f>
        <v>415534.89000000001</v>
      </c>
      <c r="H460" s="23">
        <f>J460+L460+N460+P460</f>
        <v>393154.04000000004</v>
      </c>
      <c r="I460" s="23">
        <f>I56+I118+I161+I249</f>
        <v>268270.98999999999</v>
      </c>
      <c r="J460" s="23">
        <f>J56+J118+J161+J249</f>
        <v>255911.14000000001</v>
      </c>
      <c r="K460" s="23">
        <f>K56+K118+K161+K249</f>
        <v>3297.5</v>
      </c>
      <c r="L460" s="23">
        <v>0</v>
      </c>
      <c r="M460" s="23">
        <f>M56+M118+M161+M249</f>
        <v>68949.300000000003</v>
      </c>
      <c r="N460" s="23">
        <f>N56+N118+N161+N249</f>
        <v>62225.800000000003</v>
      </c>
      <c r="O460" s="23">
        <f>O56+O118+O161+O249</f>
        <v>75017.100000000006</v>
      </c>
      <c r="P460" s="23">
        <f>P56+P118+P161+P249</f>
        <v>75017.100000000006</v>
      </c>
      <c r="Q460" s="143"/>
      <c r="R460" s="35"/>
      <c r="S460" s="11"/>
      <c r="T460" s="11"/>
      <c r="W460" s="32">
        <f t="shared" si="95"/>
        <v>12359.849999999977</v>
      </c>
    </row>
    <row r="461" s="26" customFormat="1">
      <c r="A461" s="13"/>
      <c r="B461" s="58"/>
      <c r="C461" s="28"/>
      <c r="D461" s="28"/>
      <c r="E461" s="28"/>
      <c r="F461" s="13" t="s">
        <v>26</v>
      </c>
      <c r="G461" s="23">
        <f>I461+K461+M461+O461</f>
        <v>476059.0959999999</v>
      </c>
      <c r="H461" s="23">
        <f>J461+L461+N461+P461</f>
        <v>458652.696</v>
      </c>
      <c r="I461" s="23">
        <f>I57+I119+I162+I250</f>
        <v>277844.09999999998</v>
      </c>
      <c r="J461" s="23">
        <f>J57+J119+J162+J250</f>
        <v>267597.40000000002</v>
      </c>
      <c r="K461" s="23">
        <f>K57+K119+K162+K250</f>
        <v>3135.3000000000002</v>
      </c>
      <c r="L461" s="23">
        <f>L57+L119+L162+L250</f>
        <v>0</v>
      </c>
      <c r="M461" s="23">
        <f>M57+M119+M162+M250</f>
        <v>112958.09599999999</v>
      </c>
      <c r="N461" s="23">
        <f>N57+N119+N162+N250</f>
        <v>108933.69599999998</v>
      </c>
      <c r="O461" s="23">
        <f>O57+O119+O162+O250</f>
        <v>82121.600000000006</v>
      </c>
      <c r="P461" s="23">
        <f>P57+P119+P162+P250</f>
        <v>82121.600000000006</v>
      </c>
      <c r="Q461" s="143"/>
      <c r="R461" s="35"/>
      <c r="S461" s="11"/>
      <c r="T461" s="11"/>
      <c r="W461" s="32">
        <f t="shared" si="95"/>
        <v>10246.699999999953</v>
      </c>
    </row>
    <row r="462" s="26" customFormat="1">
      <c r="A462" s="13"/>
      <c r="B462" s="58"/>
      <c r="C462" s="28"/>
      <c r="D462" s="28"/>
      <c r="E462" s="28"/>
      <c r="F462" s="13" t="s">
        <v>27</v>
      </c>
      <c r="G462" s="23">
        <f>I462+K462+M462+O462</f>
        <v>533092.20000000007</v>
      </c>
      <c r="H462" s="23">
        <f>J462+L462+N462+P462</f>
        <v>517689.5</v>
      </c>
      <c r="I462" s="23">
        <f>I58+I120+I163+I251+I403</f>
        <v>301455.40000000002</v>
      </c>
      <c r="J462" s="23">
        <f>J58+J120+J163+J251+J403</f>
        <v>286052.70000000001</v>
      </c>
      <c r="K462" s="23">
        <f>K58+K120+K163+K251+K403</f>
        <v>645.60000000000002</v>
      </c>
      <c r="L462" s="23">
        <f>L58+L120+L163+L251+L403</f>
        <v>645.60000000000002</v>
      </c>
      <c r="M462" s="23">
        <f>M58+M120+M163+M251+M403</f>
        <v>145737.90000000002</v>
      </c>
      <c r="N462" s="23">
        <f>N58+N120+N163+N251+N403</f>
        <v>145737.90000000002</v>
      </c>
      <c r="O462" s="23">
        <f>O58+O120+O163+O251+O403</f>
        <v>85253.300000000003</v>
      </c>
      <c r="P462" s="23">
        <f>P58+P120+P163+P251+P403</f>
        <v>85253.300000000003</v>
      </c>
      <c r="Q462" s="143"/>
      <c r="R462" s="35"/>
      <c r="S462" s="144"/>
      <c r="T462" s="144"/>
      <c r="W462" s="32">
        <f t="shared" si="95"/>
        <v>15402.700000000012</v>
      </c>
    </row>
    <row r="463" s="26" customFormat="1">
      <c r="A463" s="13"/>
      <c r="B463" s="58"/>
      <c r="C463" s="28"/>
      <c r="D463" s="28"/>
      <c r="E463" s="28"/>
      <c r="F463" s="13" t="s">
        <v>28</v>
      </c>
      <c r="G463" s="23">
        <f>I463+K463+M463+O463</f>
        <v>548956</v>
      </c>
      <c r="H463" s="23">
        <f>J463+L463+N463+P463</f>
        <v>535926.39999999991</v>
      </c>
      <c r="I463" s="23">
        <f>I59+I121+I164+I252+I404+I439</f>
        <v>308889.29999999999</v>
      </c>
      <c r="J463" s="23">
        <f>J59+J121+J164+J252+J404+J439</f>
        <v>300567.59999999998</v>
      </c>
      <c r="K463" s="23">
        <f>K59+K121+K164+K252+K404+K439</f>
        <v>5000</v>
      </c>
      <c r="L463" s="23">
        <f>L59+L121+L164+L252+L404+L439</f>
        <v>5000</v>
      </c>
      <c r="M463" s="23">
        <f>M59+M121+M164+M252+M404+M439</f>
        <v>147145.70000000001</v>
      </c>
      <c r="N463" s="23">
        <f>N59+N121+N164+N252+N404+N439</f>
        <v>142437.79999999999</v>
      </c>
      <c r="O463" s="23">
        <f>O59+O121+O164+O252+O404+O439</f>
        <v>87921</v>
      </c>
      <c r="P463" s="23">
        <f>P59+P121+P164+P252+P404+P439</f>
        <v>87921</v>
      </c>
      <c r="Q463" s="143"/>
      <c r="R463" s="35"/>
      <c r="S463" s="145"/>
      <c r="T463" s="144"/>
      <c r="W463" s="32">
        <f t="shared" si="95"/>
        <v>8321.7000000000116</v>
      </c>
      <c r="Y463" s="146"/>
      <c r="Z463" s="146"/>
      <c r="AA463" s="145"/>
    </row>
    <row r="464" s="26" customFormat="1">
      <c r="A464" s="13"/>
      <c r="B464" s="58"/>
      <c r="C464" s="28"/>
      <c r="D464" s="28"/>
      <c r="E464" s="28"/>
      <c r="F464" s="13" t="s">
        <v>29</v>
      </c>
      <c r="G464" s="23">
        <f>I464+K464+M464+O464</f>
        <v>590023.18000000005</v>
      </c>
      <c r="H464" s="23">
        <f>J464+L464+N464+P464</f>
        <v>506158.92000000004</v>
      </c>
      <c r="I464" s="23">
        <f>I60+I122+I165+I253+I405+I440</f>
        <v>375056.28000000003</v>
      </c>
      <c r="J464" s="23">
        <f>J60+J122+J165+J253+J405+J440</f>
        <v>342346.82000000001</v>
      </c>
      <c r="K464" s="23">
        <f>K60+K122+K165+K253+K405+K440</f>
        <v>5000</v>
      </c>
      <c r="L464" s="23">
        <f>L60+L122+L165+L253+L405+L440</f>
        <v>0</v>
      </c>
      <c r="M464" s="23">
        <f>M60+M122+M165+M253+M405+M440</f>
        <v>146592.5</v>
      </c>
      <c r="N464" s="23">
        <f>N60+N122+N165+N253+N405+N440</f>
        <v>100437.70000000001</v>
      </c>
      <c r="O464" s="23">
        <f>O60+O122+O165+O253+O405+O440</f>
        <v>63374.399999999994</v>
      </c>
      <c r="P464" s="23">
        <f>P60+P122+P165+P253+P405+P440</f>
        <v>63374.399999999994</v>
      </c>
      <c r="Q464" s="143"/>
      <c r="R464" s="35"/>
      <c r="S464" s="145"/>
      <c r="T464" s="13"/>
      <c r="W464" s="32">
        <f t="shared" si="95"/>
        <v>32709.460000000021</v>
      </c>
      <c r="Y464" s="146"/>
      <c r="Z464" s="146"/>
      <c r="AA464" s="145"/>
    </row>
    <row r="465" s="26" customFormat="1">
      <c r="A465" s="13"/>
      <c r="B465" s="58"/>
      <c r="C465" s="28"/>
      <c r="D465" s="28"/>
      <c r="E465" s="28"/>
      <c r="F465" s="13" t="s">
        <v>30</v>
      </c>
      <c r="G465" s="23">
        <f>I465+K465+M465+O465</f>
        <v>633548.19999999995</v>
      </c>
      <c r="H465" s="23">
        <f>J465+L465+N465+P465</f>
        <v>568527.90000000002</v>
      </c>
      <c r="I465" s="23">
        <f>I61+I123+I166+I254+I406+I441</f>
        <v>398073.5</v>
      </c>
      <c r="J465" s="23">
        <f>J61+J123+J166+J254+J406+J441</f>
        <v>365252.20000000001</v>
      </c>
      <c r="K465" s="23">
        <f>K61+K123+K166+K254+K406+K441</f>
        <v>5416</v>
      </c>
      <c r="L465" s="23">
        <f>L61+L123+L166+L254+L406+L441</f>
        <v>5416</v>
      </c>
      <c r="M465" s="23">
        <f>M61+M123+M166+M254+M406+M441</f>
        <v>146665.70000000001</v>
      </c>
      <c r="N465" s="23">
        <f>N61+N123+N166+N254+N406+N441</f>
        <v>114466.7</v>
      </c>
      <c r="O465" s="23">
        <f>O61+O123+O166+O254+O406+O441</f>
        <v>83393</v>
      </c>
      <c r="P465" s="23">
        <f>P61+P123+P166+P254+P406+P441</f>
        <v>83393</v>
      </c>
      <c r="Q465" s="143"/>
      <c r="R465" s="35"/>
      <c r="S465" s="145"/>
      <c r="T465" s="13"/>
      <c r="W465" s="32">
        <f t="shared" si="95"/>
        <v>32821.299999999988</v>
      </c>
      <c r="Y465" s="146"/>
      <c r="Z465" s="146"/>
      <c r="AA465" s="145"/>
    </row>
    <row r="466" s="39" customFormat="1">
      <c r="A466" s="13"/>
      <c r="B466" s="58"/>
      <c r="C466" s="28"/>
      <c r="D466" s="28"/>
      <c r="E466" s="28"/>
      <c r="F466" s="41" t="s">
        <v>31</v>
      </c>
      <c r="G466" s="42">
        <f>I466+K466+M466+O466</f>
        <v>685795.34000000008</v>
      </c>
      <c r="H466" s="42">
        <f>J466+L466+N466+P466</f>
        <v>628094.87000000011</v>
      </c>
      <c r="I466" s="42">
        <f>I62+I124+I167+I255+I407+I442</f>
        <v>445300.24000000005</v>
      </c>
      <c r="J466" s="42">
        <f>J62+J124+J167+J255+J407+J442</f>
        <v>415799.69000000006</v>
      </c>
      <c r="K466" s="42">
        <f>K62+K124+K167+K255+K407+K442</f>
        <v>5432.8999999999996</v>
      </c>
      <c r="L466" s="42">
        <f>L62+L124+L167+L255+L407+L442</f>
        <v>432.89999999999998</v>
      </c>
      <c r="M466" s="42">
        <f>M62+M124+M167+M255+M407+M442</f>
        <v>147164</v>
      </c>
      <c r="N466" s="42">
        <f>N62+N124+N167+N255+N407+N442</f>
        <v>123964.08000000002</v>
      </c>
      <c r="O466" s="42">
        <f>O62+O124+O167+O255+O407+O442</f>
        <v>87898.199999999983</v>
      </c>
      <c r="P466" s="42">
        <f>P62+P124+P167+P255+P407+P442</f>
        <v>87898.199999999983</v>
      </c>
      <c r="Q466" s="147"/>
      <c r="R466" s="43"/>
      <c r="S466" s="148"/>
      <c r="T466" s="41"/>
      <c r="W466" s="46">
        <f t="shared" si="95"/>
        <v>29500.549999999988</v>
      </c>
      <c r="Y466" s="149"/>
      <c r="Z466" s="149"/>
      <c r="AA466" s="148"/>
    </row>
    <row r="467" s="26" customFormat="1">
      <c r="A467" s="13"/>
      <c r="B467" s="58"/>
      <c r="C467" s="28"/>
      <c r="D467" s="28"/>
      <c r="E467" s="28"/>
      <c r="F467" s="13" t="s">
        <v>32</v>
      </c>
      <c r="G467" s="23">
        <f>I467+K467+M467+O467</f>
        <v>677174.60000000009</v>
      </c>
      <c r="H467" s="23">
        <f>J467+L467+N467+P467</f>
        <v>426596</v>
      </c>
      <c r="I467" s="23">
        <f>I63+I125+I168+I256+I408+I443</f>
        <v>460577.79999999999</v>
      </c>
      <c r="J467" s="23">
        <f>J63+J125+J168+J256+J408+J443</f>
        <v>354600.29999999999</v>
      </c>
      <c r="K467" s="23">
        <f>K63+K125+K168+K256+K408+K443</f>
        <v>5000</v>
      </c>
      <c r="L467" s="23">
        <f>L63+L125+L168+L256+L408+L443</f>
        <v>0</v>
      </c>
      <c r="M467" s="23">
        <f>M63+M125+M168+M256+M408+M443</f>
        <v>147164</v>
      </c>
      <c r="N467" s="23">
        <f>N63+N125+N168+N256+N408+N443</f>
        <v>7562.8999999999996</v>
      </c>
      <c r="O467" s="23">
        <f>O63+O125+O168+O256+O408+O443</f>
        <v>64432.800000000003</v>
      </c>
      <c r="P467" s="23">
        <f>P63+P125+P168+P256+P408+P443</f>
        <v>64432.800000000003</v>
      </c>
      <c r="Q467" s="143"/>
      <c r="R467" s="35"/>
      <c r="S467" s="145"/>
      <c r="T467" s="13"/>
      <c r="W467" s="32">
        <f t="shared" si="95"/>
        <v>105977.5</v>
      </c>
      <c r="Y467" s="144"/>
      <c r="Z467" s="146"/>
      <c r="AA467" s="145"/>
    </row>
    <row r="468" s="26" customFormat="1">
      <c r="A468" s="13"/>
      <c r="B468" s="58"/>
      <c r="C468" s="28"/>
      <c r="D468" s="28"/>
      <c r="E468" s="28"/>
      <c r="F468" s="13" t="s">
        <v>33</v>
      </c>
      <c r="G468" s="23">
        <f>I468+K468+M468+O468</f>
        <v>677271.70000000007</v>
      </c>
      <c r="H468" s="23">
        <f>J468+L468+N468+P468</f>
        <v>426596</v>
      </c>
      <c r="I468" s="23">
        <f>I64+I126+I169+I257+I409+I444</f>
        <v>460674.90000000002</v>
      </c>
      <c r="J468" s="23">
        <f>J64+J126+J169+J257+J409+J444</f>
        <v>354600.29999999999</v>
      </c>
      <c r="K468" s="23">
        <f>K64+K126+K169+K257+K409+K444</f>
        <v>5000</v>
      </c>
      <c r="L468" s="23">
        <f>L64+L126+L169+L257+L409+L444</f>
        <v>0</v>
      </c>
      <c r="M468" s="23">
        <f>M64+M126+M169+M257+M409+M444</f>
        <v>147164</v>
      </c>
      <c r="N468" s="23">
        <f>N64+N126+N169+N257+N409+N444</f>
        <v>7562.8999999999996</v>
      </c>
      <c r="O468" s="23">
        <f>O64+O126+O169+O257+O409+O444</f>
        <v>64432.800000000003</v>
      </c>
      <c r="P468" s="23">
        <f>P64+P126+P169+P257+P409+P444</f>
        <v>64432.800000000003</v>
      </c>
      <c r="Q468" s="143"/>
      <c r="R468" s="35"/>
      <c r="S468" s="145"/>
      <c r="T468" s="13"/>
      <c r="W468" s="32">
        <f t="shared" si="95"/>
        <v>106074.60000000003</v>
      </c>
      <c r="Y468" s="144"/>
      <c r="Z468" s="146"/>
      <c r="AA468" s="145"/>
    </row>
    <row r="469" s="26" customFormat="1">
      <c r="A469" s="13"/>
      <c r="B469" s="58"/>
      <c r="C469" s="49"/>
      <c r="D469" s="49"/>
      <c r="E469" s="49"/>
      <c r="F469" s="13" t="s">
        <v>34</v>
      </c>
      <c r="G469" s="23">
        <f>I469+K469+M469+O469</f>
        <v>677271.70000000007</v>
      </c>
      <c r="H469" s="23">
        <f>J469+L469+N469+P469</f>
        <v>319331.79999999999</v>
      </c>
      <c r="I469" s="23">
        <f>I65+I127+I170+I258+I410+I445</f>
        <v>460674.90000000002</v>
      </c>
      <c r="J469" s="23">
        <f>J65+J127+J170+J258+J410+J445</f>
        <v>319331.79999999999</v>
      </c>
      <c r="K469" s="23">
        <f>K65+K127+K170+K258+K410+K445</f>
        <v>5000</v>
      </c>
      <c r="L469" s="23">
        <f>L65+L127+L170+L258+L410+L445</f>
        <v>0</v>
      </c>
      <c r="M469" s="23">
        <f>M65+M127+M170+M258+M410+M445</f>
        <v>147164</v>
      </c>
      <c r="N469" s="23">
        <f>N65+N127+N170+N258+N410+N445</f>
        <v>0</v>
      </c>
      <c r="O469" s="23">
        <f>O65+O127+O170+O258+O410+O445</f>
        <v>64432.800000000003</v>
      </c>
      <c r="P469" s="23">
        <f>P65+P127+P170+P258+P410+P445</f>
        <v>0</v>
      </c>
      <c r="Q469" s="150"/>
      <c r="R469" s="35"/>
      <c r="S469" s="145"/>
      <c r="T469" s="13"/>
      <c r="W469" s="32">
        <f t="shared" si="95"/>
        <v>141343.10000000003</v>
      </c>
      <c r="Y469" s="144"/>
      <c r="Z469" s="146"/>
      <c r="AA469" s="145"/>
    </row>
    <row r="470" ht="15.75">
      <c r="E470" s="3"/>
      <c r="G470" s="4"/>
      <c r="H470" s="4"/>
      <c r="I470" s="3"/>
      <c r="J470" s="3"/>
      <c r="K470" s="3"/>
      <c r="L470" s="3"/>
      <c r="M470" s="3"/>
      <c r="N470" s="3"/>
      <c r="O470" s="3"/>
      <c r="P470" s="3"/>
    </row>
    <row r="471" ht="15.75" hidden="1">
      <c r="E471" s="3"/>
    </row>
    <row r="472" ht="15.75" hidden="1">
      <c r="E472" s="3"/>
      <c r="G472" s="151" t="s">
        <v>136</v>
      </c>
      <c r="H472" s="57">
        <v>2021</v>
      </c>
      <c r="I472" s="19"/>
      <c r="J472" s="62">
        <f>141964+187.7+197549.5+J482</f>
        <v>350477.90000000002</v>
      </c>
    </row>
    <row r="473" ht="15.75" hidden="1">
      <c r="E473" s="3"/>
      <c r="G473" s="152"/>
      <c r="H473" s="57">
        <v>2022</v>
      </c>
      <c r="I473" s="19"/>
      <c r="J473" s="62">
        <f t="shared" ref="J473:J474" si="98">141964+187.7+J483+194549.5</f>
        <v>346122.09999999998</v>
      </c>
    </row>
    <row r="474" ht="15.75" hidden="1">
      <c r="G474" s="153"/>
      <c r="H474" s="57">
        <v>2023</v>
      </c>
      <c r="I474" s="19"/>
      <c r="J474" s="62">
        <f t="shared" si="98"/>
        <v>343733.20000000001</v>
      </c>
    </row>
    <row r="475" ht="15.75" hidden="1">
      <c r="G475" s="151" t="s">
        <v>137</v>
      </c>
      <c r="H475" s="57">
        <v>2021</v>
      </c>
      <c r="I475" s="19"/>
      <c r="J475" s="62">
        <f t="shared" ref="J475:J477" si="99">J465</f>
        <v>365252.20000000001</v>
      </c>
    </row>
    <row r="476" ht="15.75" hidden="1">
      <c r="G476" s="152"/>
      <c r="H476" s="57">
        <v>2022</v>
      </c>
      <c r="I476" s="19"/>
      <c r="J476" s="62">
        <f t="shared" si="99"/>
        <v>415799.69000000006</v>
      </c>
    </row>
    <row r="477" ht="15.75" hidden="1">
      <c r="G477" s="153"/>
      <c r="H477" s="57">
        <v>2023</v>
      </c>
      <c r="I477" s="19"/>
      <c r="J477" s="62">
        <f t="shared" si="99"/>
        <v>354600.29999999999</v>
      </c>
    </row>
    <row r="478" ht="15.75" hidden="1">
      <c r="G478" s="151" t="s">
        <v>138</v>
      </c>
      <c r="H478" s="57">
        <v>2021</v>
      </c>
      <c r="I478" s="19"/>
      <c r="J478" s="154">
        <f t="shared" ref="J478:J480" si="100">J475-J472</f>
        <v>14774.299999999988</v>
      </c>
    </row>
    <row r="479" ht="15.75" hidden="1">
      <c r="G479" s="152"/>
      <c r="H479" s="57">
        <v>2022</v>
      </c>
      <c r="I479" s="19"/>
      <c r="J479" s="154">
        <f t="shared" si="100"/>
        <v>69677.590000000084</v>
      </c>
    </row>
    <row r="480" ht="15.75" hidden="1">
      <c r="G480" s="153"/>
      <c r="H480" s="57">
        <v>2023</v>
      </c>
      <c r="I480" s="19"/>
      <c r="J480" s="154">
        <f t="shared" si="100"/>
        <v>10867.099999999977</v>
      </c>
    </row>
    <row r="481" ht="15.75" hidden="1"/>
    <row r="482" ht="15.75" hidden="1">
      <c r="G482" s="57" t="s">
        <v>139</v>
      </c>
      <c r="H482" s="57">
        <v>2021</v>
      </c>
      <c r="I482" s="19"/>
      <c r="J482" s="154">
        <f t="shared" ref="J482:J484" si="101">J358+J370+J382+J394</f>
        <v>10776.700000000001</v>
      </c>
    </row>
    <row r="483" ht="15.75" hidden="1">
      <c r="G483" s="57"/>
      <c r="H483" s="57">
        <v>2022</v>
      </c>
      <c r="I483" s="19"/>
      <c r="J483" s="154">
        <f t="shared" si="101"/>
        <v>9420.8999999999996</v>
      </c>
    </row>
    <row r="484" ht="15.75" hidden="1">
      <c r="G484" s="57"/>
      <c r="H484" s="57">
        <v>2023</v>
      </c>
      <c r="I484" s="19"/>
      <c r="J484" s="154">
        <f t="shared" si="101"/>
        <v>7032</v>
      </c>
    </row>
    <row r="485" ht="15.75" hidden="1"/>
    <row r="486" ht="15.75" hidden="1">
      <c r="A486" s="155"/>
      <c r="B486" s="156"/>
      <c r="C486" s="157"/>
      <c r="D486" s="157"/>
      <c r="E486" s="157"/>
      <c r="F486" s="157"/>
      <c r="G486" s="158"/>
      <c r="H486" s="158"/>
      <c r="I486" s="157"/>
      <c r="J486" s="23">
        <v>415875.29999999999</v>
      </c>
      <c r="K486" s="157"/>
      <c r="L486" s="157"/>
      <c r="N486" s="3">
        <v>123964.10000000001</v>
      </c>
    </row>
    <row r="487" ht="15.75" hidden="1">
      <c r="J487" s="159">
        <f>J486-J466</f>
        <v>75.609999999927823</v>
      </c>
      <c r="N487" s="159">
        <f>N486-N466</f>
        <v>1.9999999989522621e-002</v>
      </c>
    </row>
    <row r="488" ht="15.75" hidden="1">
      <c r="J488" s="160"/>
      <c r="N488" s="3"/>
    </row>
    <row r="489" ht="15.75" hidden="1"/>
  </sheetData>
  <mergeCells count="224">
    <mergeCell ref="A1:Q1"/>
    <mergeCell ref="N2:Q5"/>
    <mergeCell ref="A7:Q7"/>
    <mergeCell ref="A11:A13"/>
    <mergeCell ref="B11:B13"/>
    <mergeCell ref="C11:C13"/>
    <mergeCell ref="D11:D13"/>
    <mergeCell ref="E11:E13"/>
    <mergeCell ref="F11:F13"/>
    <mergeCell ref="G11:H12"/>
    <mergeCell ref="I11:P11"/>
    <mergeCell ref="Q11:Q12"/>
    <mergeCell ref="I12:J12"/>
    <mergeCell ref="K12:L12"/>
    <mergeCell ref="M12:N12"/>
    <mergeCell ref="O12:P12"/>
    <mergeCell ref="A15:Q15"/>
    <mergeCell ref="A16:Q16"/>
    <mergeCell ref="A17:Q17"/>
    <mergeCell ref="A18:A29"/>
    <mergeCell ref="B18:B29"/>
    <mergeCell ref="Q18:Q29"/>
    <mergeCell ref="C20:C29"/>
    <mergeCell ref="A30:A41"/>
    <mergeCell ref="B30:B41"/>
    <mergeCell ref="Q30:Q41"/>
    <mergeCell ref="C32:C41"/>
    <mergeCell ref="A42:A53"/>
    <mergeCell ref="B42:B53"/>
    <mergeCell ref="Q42:Q53"/>
    <mergeCell ref="C44:C53"/>
    <mergeCell ref="E47:E53"/>
    <mergeCell ref="A54:A115"/>
    <mergeCell ref="Q54:Q115"/>
    <mergeCell ref="B55:B65"/>
    <mergeCell ref="D55:D65"/>
    <mergeCell ref="E55:E65"/>
    <mergeCell ref="C56:C65"/>
    <mergeCell ref="S57:T58"/>
    <mergeCell ref="B66:B77"/>
    <mergeCell ref="D67:D77"/>
    <mergeCell ref="E67:E77"/>
    <mergeCell ref="C69:C77"/>
    <mergeCell ref="B78:B84"/>
    <mergeCell ref="C78:C80"/>
    <mergeCell ref="G80:P84"/>
    <mergeCell ref="B85:B91"/>
    <mergeCell ref="B92:B103"/>
    <mergeCell ref="D92:D103"/>
    <mergeCell ref="E92:E103"/>
    <mergeCell ref="C94:C103"/>
    <mergeCell ref="B104:B115"/>
    <mergeCell ref="D105:D115"/>
    <mergeCell ref="E105:E115"/>
    <mergeCell ref="C106:C115"/>
    <mergeCell ref="A116:A146"/>
    <mergeCell ref="Q116:Q146"/>
    <mergeCell ref="B117:B127"/>
    <mergeCell ref="D117:D127"/>
    <mergeCell ref="E117:E127"/>
    <mergeCell ref="C118:C127"/>
    <mergeCell ref="S119:T120"/>
    <mergeCell ref="B128:B139"/>
    <mergeCell ref="D128:D139"/>
    <mergeCell ref="E128:E139"/>
    <mergeCell ref="C131:C139"/>
    <mergeCell ref="B140:B146"/>
    <mergeCell ref="C140:C142"/>
    <mergeCell ref="G142:P146"/>
    <mergeCell ref="B147:B158"/>
    <mergeCell ref="C147:C158"/>
    <mergeCell ref="D147:D158"/>
    <mergeCell ref="E147:E158"/>
    <mergeCell ref="A159:A246"/>
    <mergeCell ref="Q159:Q246"/>
    <mergeCell ref="B160:B170"/>
    <mergeCell ref="D160:D170"/>
    <mergeCell ref="E160:E170"/>
    <mergeCell ref="C161:C170"/>
    <mergeCell ref="S161:T163"/>
    <mergeCell ref="B171:B182"/>
    <mergeCell ref="D172:D182"/>
    <mergeCell ref="E172:E182"/>
    <mergeCell ref="C174:C182"/>
    <mergeCell ref="B183:B194"/>
    <mergeCell ref="D184:D189"/>
    <mergeCell ref="E184:E189"/>
    <mergeCell ref="C185:C194"/>
    <mergeCell ref="G189:P189"/>
    <mergeCell ref="B195:B206"/>
    <mergeCell ref="D195:D200"/>
    <mergeCell ref="E195:E200"/>
    <mergeCell ref="C197:C199"/>
    <mergeCell ref="G200:P200"/>
    <mergeCell ref="B207:B213"/>
    <mergeCell ref="C207:C209"/>
    <mergeCell ref="E207:E209"/>
    <mergeCell ref="G209:P213"/>
    <mergeCell ref="B214:B220"/>
    <mergeCell ref="C214:C216"/>
    <mergeCell ref="E214:E216"/>
    <mergeCell ref="G216:P220"/>
    <mergeCell ref="B221:B227"/>
    <mergeCell ref="C221:C223"/>
    <mergeCell ref="E221:E223"/>
    <mergeCell ref="G223:P227"/>
    <mergeCell ref="B228:B234"/>
    <mergeCell ref="B235:B246"/>
    <mergeCell ref="D235:D246"/>
    <mergeCell ref="E235:E246"/>
    <mergeCell ref="C237:C246"/>
    <mergeCell ref="A247:A350"/>
    <mergeCell ref="D247:D258"/>
    <mergeCell ref="E247:E258"/>
    <mergeCell ref="Q247:Q350"/>
    <mergeCell ref="B248:B258"/>
    <mergeCell ref="C249:C258"/>
    <mergeCell ref="S250:T252"/>
    <mergeCell ref="B259:B270"/>
    <mergeCell ref="D259:D270"/>
    <mergeCell ref="E259:E270"/>
    <mergeCell ref="C262:C270"/>
    <mergeCell ref="B271:B282"/>
    <mergeCell ref="D272:D282"/>
    <mergeCell ref="E272:E282"/>
    <mergeCell ref="C273:C282"/>
    <mergeCell ref="B283:B289"/>
    <mergeCell ref="C283:C285"/>
    <mergeCell ref="G285:P289"/>
    <mergeCell ref="B290:B296"/>
    <mergeCell ref="C290:C292"/>
    <mergeCell ref="E290:E292"/>
    <mergeCell ref="G292:P296"/>
    <mergeCell ref="B297:B303"/>
    <mergeCell ref="B304:B310"/>
    <mergeCell ref="B311:B317"/>
    <mergeCell ref="C311:C313"/>
    <mergeCell ref="E311:E313"/>
    <mergeCell ref="G313:P317"/>
    <mergeCell ref="B318:B324"/>
    <mergeCell ref="C318:C320"/>
    <mergeCell ref="E318:E320"/>
    <mergeCell ref="G320:P324"/>
    <mergeCell ref="B325:B331"/>
    <mergeCell ref="C325:C327"/>
    <mergeCell ref="E325:E327"/>
    <mergeCell ref="G327:P331"/>
    <mergeCell ref="B332:B338"/>
    <mergeCell ref="C332:C334"/>
    <mergeCell ref="E332:E334"/>
    <mergeCell ref="G334:P338"/>
    <mergeCell ref="B339:B350"/>
    <mergeCell ref="D339:D350"/>
    <mergeCell ref="E339:E350"/>
    <mergeCell ref="C341:C350"/>
    <mergeCell ref="A351:A362"/>
    <mergeCell ref="B351:B362"/>
    <mergeCell ref="C351:C354"/>
    <mergeCell ref="D351:D362"/>
    <mergeCell ref="E351:E362"/>
    <mergeCell ref="Q351:Q362"/>
    <mergeCell ref="C355:C362"/>
    <mergeCell ref="A363:A374"/>
    <mergeCell ref="B363:B374"/>
    <mergeCell ref="C363:C366"/>
    <mergeCell ref="D363:D374"/>
    <mergeCell ref="E363:E374"/>
    <mergeCell ref="Q363:Q374"/>
    <mergeCell ref="C367:C374"/>
    <mergeCell ref="A375:A386"/>
    <mergeCell ref="B375:B386"/>
    <mergeCell ref="C375:C378"/>
    <mergeCell ref="D375:D386"/>
    <mergeCell ref="E375:E386"/>
    <mergeCell ref="Q375:Q386"/>
    <mergeCell ref="C379:C386"/>
    <mergeCell ref="A387:A398"/>
    <mergeCell ref="B387:B398"/>
    <mergeCell ref="C387:C390"/>
    <mergeCell ref="D387:D398"/>
    <mergeCell ref="E387:E398"/>
    <mergeCell ref="Q387:Q398"/>
    <mergeCell ref="C391:C398"/>
    <mergeCell ref="Q399:Q405"/>
    <mergeCell ref="A400:A433"/>
    <mergeCell ref="B400:B405"/>
    <mergeCell ref="C403:C405"/>
    <mergeCell ref="B406:B412"/>
    <mergeCell ref="C406:C409"/>
    <mergeCell ref="Q406:Q412"/>
    <mergeCell ref="C410:C412"/>
    <mergeCell ref="B413:B419"/>
    <mergeCell ref="C413:C416"/>
    <mergeCell ref="Q413:Q419"/>
    <mergeCell ref="C417:C419"/>
    <mergeCell ref="B420:B426"/>
    <mergeCell ref="C420:C423"/>
    <mergeCell ref="Q420:Q426"/>
    <mergeCell ref="C424:C426"/>
    <mergeCell ref="B427:B433"/>
    <mergeCell ref="C427:C430"/>
    <mergeCell ref="Q427:Q433"/>
    <mergeCell ref="C431:C433"/>
    <mergeCell ref="D434:D445"/>
    <mergeCell ref="E434:E445"/>
    <mergeCell ref="A435:A445"/>
    <mergeCell ref="B435:B445"/>
    <mergeCell ref="C436:C445"/>
    <mergeCell ref="A446:A457"/>
    <mergeCell ref="B446:B457"/>
    <mergeCell ref="C446:C449"/>
    <mergeCell ref="D446:D457"/>
    <mergeCell ref="E446:E457"/>
    <mergeCell ref="Q446:Q457"/>
    <mergeCell ref="C450:C457"/>
    <mergeCell ref="A458:A469"/>
    <mergeCell ref="B458:B469"/>
    <mergeCell ref="C458:C469"/>
    <mergeCell ref="D458:D469"/>
    <mergeCell ref="E458:E469"/>
    <mergeCell ref="S459:T461"/>
    <mergeCell ref="G472:G474"/>
    <mergeCell ref="G475:G477"/>
    <mergeCell ref="G478:G480"/>
  </mergeCells>
  <printOptions headings="0" gridLines="0"/>
  <pageMargins left="0.15748000000000001" right="0.15748000000000001" top="0.19684999999999997" bottom="0.19684999999999997" header="0.31496099999999999" footer="0.31496099999999999"/>
  <pageSetup paperSize="9" scale="75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>Grizli777</Company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revision>1</cp:revision>
  <dcterms:created xsi:type="dcterms:W3CDTF">2014-06-24T05:35:00Z</dcterms:created>
  <dcterms:modified xsi:type="dcterms:W3CDTF">2023-02-01T03:41:53Z</dcterms:modified>
  <cp:version>786432</cp:version>
</cp:coreProperties>
</file>