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definedNames>
    <definedName name="Print_Titles" localSheetId="0">Лист1!$13:$15</definedName>
  </definedNames>
  <calcPr calcId="145621"/>
</workbook>
</file>

<file path=xl/calcChain.xml><?xml version="1.0" encoding="utf-8"?>
<calcChain xmlns="http://schemas.openxmlformats.org/spreadsheetml/2006/main">
  <c r="I269" i="1" l="1"/>
  <c r="J269" i="1" l="1"/>
  <c r="J257" i="1"/>
  <c r="W446" i="1"/>
  <c r="H446" i="1"/>
  <c r="G446" i="1"/>
  <c r="W445" i="1"/>
  <c r="H445" i="1"/>
  <c r="G445" i="1"/>
  <c r="I444" i="1"/>
  <c r="W444" i="1" s="1"/>
  <c r="H444" i="1"/>
  <c r="G444" i="1"/>
  <c r="I443" i="1"/>
  <c r="W443" i="1" s="1"/>
  <c r="H443" i="1"/>
  <c r="W442" i="1"/>
  <c r="G442" i="1"/>
  <c r="I441" i="1"/>
  <c r="W441" i="1" s="1"/>
  <c r="H441" i="1"/>
  <c r="I440" i="1"/>
  <c r="I435" i="1" s="1"/>
  <c r="H440" i="1"/>
  <c r="M439" i="1"/>
  <c r="M440" i="1" s="1"/>
  <c r="W439" i="1"/>
  <c r="H439" i="1"/>
  <c r="W438" i="1"/>
  <c r="H438" i="1"/>
  <c r="G438" i="1"/>
  <c r="W437" i="1"/>
  <c r="H437" i="1"/>
  <c r="G437" i="1"/>
  <c r="W436" i="1"/>
  <c r="H436" i="1"/>
  <c r="G436" i="1"/>
  <c r="P435" i="1"/>
  <c r="O435" i="1"/>
  <c r="N435" i="1"/>
  <c r="L435" i="1"/>
  <c r="K435" i="1"/>
  <c r="J435" i="1"/>
  <c r="G443" i="1" l="1"/>
  <c r="W435" i="1"/>
  <c r="M441" i="1"/>
  <c r="G441" i="1" s="1"/>
  <c r="G440" i="1"/>
  <c r="W440" i="1"/>
  <c r="M435" i="1"/>
  <c r="G439" i="1"/>
  <c r="G435" i="1" s="1"/>
  <c r="H442" i="1"/>
  <c r="H435" i="1" s="1"/>
  <c r="M138" i="1" l="1"/>
  <c r="I385" i="1" l="1"/>
  <c r="I361" i="1"/>
  <c r="I397" i="1" l="1"/>
  <c r="J181" i="1"/>
  <c r="M76" i="1"/>
  <c r="M181" i="1"/>
  <c r="M269" i="1"/>
  <c r="H471" i="1"/>
  <c r="I471" i="1"/>
  <c r="J471" i="1"/>
  <c r="K471" i="1"/>
  <c r="L471" i="1"/>
  <c r="M471" i="1"/>
  <c r="N471" i="1"/>
  <c r="O471" i="1"/>
  <c r="P471" i="1"/>
  <c r="G471" i="1"/>
  <c r="K52" i="1"/>
  <c r="M52" i="1"/>
  <c r="O52" i="1"/>
  <c r="P52" i="1"/>
  <c r="I52" i="1"/>
  <c r="G52" i="1" l="1"/>
  <c r="K456" i="1"/>
  <c r="M456" i="1"/>
  <c r="O456" i="1"/>
  <c r="P456" i="1"/>
  <c r="I456" i="1"/>
  <c r="J492" i="1" l="1"/>
  <c r="W492" i="1" s="1"/>
  <c r="N492" i="1"/>
  <c r="L492" i="1"/>
  <c r="H494" i="1"/>
  <c r="G494" i="1"/>
  <c r="H493" i="1"/>
  <c r="G493" i="1"/>
  <c r="G492" i="1"/>
  <c r="H491" i="1"/>
  <c r="G491" i="1"/>
  <c r="H490" i="1"/>
  <c r="G490" i="1"/>
  <c r="H489" i="1"/>
  <c r="G489" i="1"/>
  <c r="G488" i="1"/>
  <c r="H487" i="1"/>
  <c r="G487" i="1"/>
  <c r="H486" i="1"/>
  <c r="G486" i="1"/>
  <c r="H485" i="1"/>
  <c r="G485" i="1"/>
  <c r="H484" i="1"/>
  <c r="G484" i="1"/>
  <c r="W494" i="1"/>
  <c r="W493" i="1"/>
  <c r="W491" i="1"/>
  <c r="W490" i="1"/>
  <c r="W489" i="1"/>
  <c r="W488" i="1"/>
  <c r="P488" i="1"/>
  <c r="H488" i="1" s="1"/>
  <c r="W487" i="1"/>
  <c r="W486" i="1"/>
  <c r="W485" i="1"/>
  <c r="W484" i="1"/>
  <c r="O483" i="1"/>
  <c r="N483" i="1"/>
  <c r="M483" i="1"/>
  <c r="L483" i="1"/>
  <c r="K483" i="1"/>
  <c r="I483" i="1"/>
  <c r="N183" i="1"/>
  <c r="N182" i="1"/>
  <c r="N52" i="1" l="1"/>
  <c r="N456" i="1"/>
  <c r="L52" i="1"/>
  <c r="L456" i="1"/>
  <c r="H492" i="1"/>
  <c r="H483" i="1" s="1"/>
  <c r="J52" i="1"/>
  <c r="J456" i="1"/>
  <c r="J483" i="1"/>
  <c r="W483" i="1" s="1"/>
  <c r="G483" i="1"/>
  <c r="P483" i="1"/>
  <c r="N139" i="1"/>
  <c r="K269" i="1"/>
  <c r="H456" i="1" l="1"/>
  <c r="G385" i="1"/>
  <c r="H361" i="1"/>
  <c r="W470" i="1"/>
  <c r="H470" i="1"/>
  <c r="G470" i="1"/>
  <c r="W469" i="1"/>
  <c r="H469" i="1"/>
  <c r="G469" i="1"/>
  <c r="W468" i="1"/>
  <c r="H468" i="1"/>
  <c r="G468" i="1"/>
  <c r="W467" i="1"/>
  <c r="H467" i="1"/>
  <c r="G467" i="1"/>
  <c r="W466" i="1"/>
  <c r="H466" i="1"/>
  <c r="G466" i="1"/>
  <c r="W465" i="1"/>
  <c r="H465" i="1"/>
  <c r="G465" i="1"/>
  <c r="W464" i="1"/>
  <c r="P464" i="1"/>
  <c r="P459" i="1" s="1"/>
  <c r="L464" i="1"/>
  <c r="L48" i="1" s="1"/>
  <c r="G464" i="1"/>
  <c r="W463" i="1"/>
  <c r="H463" i="1"/>
  <c r="G463" i="1"/>
  <c r="W462" i="1"/>
  <c r="H462" i="1"/>
  <c r="G462" i="1"/>
  <c r="W461" i="1"/>
  <c r="H461" i="1"/>
  <c r="G461" i="1"/>
  <c r="W460" i="1"/>
  <c r="H460" i="1"/>
  <c r="G460" i="1"/>
  <c r="O459" i="1"/>
  <c r="N459" i="1"/>
  <c r="M459" i="1"/>
  <c r="K459" i="1"/>
  <c r="J459" i="1"/>
  <c r="I459" i="1"/>
  <c r="P458" i="1"/>
  <c r="O458" i="1"/>
  <c r="N458" i="1"/>
  <c r="M458" i="1"/>
  <c r="L458" i="1"/>
  <c r="K458" i="1"/>
  <c r="J458" i="1"/>
  <c r="I458" i="1"/>
  <c r="H458" i="1"/>
  <c r="G458" i="1"/>
  <c r="P457" i="1"/>
  <c r="O457" i="1"/>
  <c r="N457" i="1"/>
  <c r="M457" i="1"/>
  <c r="L457" i="1"/>
  <c r="K457" i="1"/>
  <c r="J457" i="1"/>
  <c r="H457" i="1" s="1"/>
  <c r="I457" i="1"/>
  <c r="G457" i="1" s="1"/>
  <c r="G456" i="1"/>
  <c r="P455" i="1"/>
  <c r="O455" i="1"/>
  <c r="N455" i="1"/>
  <c r="M455" i="1"/>
  <c r="L455" i="1"/>
  <c r="K455" i="1"/>
  <c r="J455" i="1"/>
  <c r="I455" i="1"/>
  <c r="G455" i="1" s="1"/>
  <c r="H455" i="1"/>
  <c r="P454" i="1"/>
  <c r="O454" i="1"/>
  <c r="N454" i="1"/>
  <c r="M454" i="1"/>
  <c r="L454" i="1"/>
  <c r="K454" i="1"/>
  <c r="J454" i="1"/>
  <c r="H454" i="1" s="1"/>
  <c r="I454" i="1"/>
  <c r="G454" i="1"/>
  <c r="P453" i="1"/>
  <c r="O453" i="1"/>
  <c r="N453" i="1"/>
  <c r="M453" i="1"/>
  <c r="L453" i="1"/>
  <c r="K453" i="1"/>
  <c r="J453" i="1"/>
  <c r="I453" i="1"/>
  <c r="G453" i="1" s="1"/>
  <c r="H453" i="1"/>
  <c r="O452" i="1"/>
  <c r="N452" i="1"/>
  <c r="M452" i="1"/>
  <c r="K452" i="1"/>
  <c r="J452" i="1"/>
  <c r="I452" i="1"/>
  <c r="W451" i="1"/>
  <c r="H451" i="1"/>
  <c r="G451" i="1"/>
  <c r="W450" i="1"/>
  <c r="H450" i="1"/>
  <c r="G450" i="1"/>
  <c r="W449" i="1"/>
  <c r="H449" i="1"/>
  <c r="G449" i="1"/>
  <c r="W448" i="1"/>
  <c r="H448" i="1"/>
  <c r="G448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H399" i="1"/>
  <c r="G399" i="1"/>
  <c r="W398" i="1"/>
  <c r="H398" i="1"/>
  <c r="W397" i="1"/>
  <c r="H397" i="1"/>
  <c r="G397" i="1"/>
  <c r="I396" i="1"/>
  <c r="W396" i="1" s="1"/>
  <c r="H396" i="1"/>
  <c r="J395" i="1"/>
  <c r="W395" i="1" s="1"/>
  <c r="G395" i="1"/>
  <c r="I394" i="1"/>
  <c r="W394" i="1" s="1"/>
  <c r="H394" i="1"/>
  <c r="I393" i="1"/>
  <c r="W393" i="1" s="1"/>
  <c r="H393" i="1"/>
  <c r="M392" i="1"/>
  <c r="M393" i="1" s="1"/>
  <c r="J392" i="1"/>
  <c r="H392" i="1" s="1"/>
  <c r="W391" i="1"/>
  <c r="H391" i="1"/>
  <c r="G391" i="1"/>
  <c r="W390" i="1"/>
  <c r="H390" i="1"/>
  <c r="G390" i="1"/>
  <c r="W389" i="1"/>
  <c r="H389" i="1"/>
  <c r="G389" i="1"/>
  <c r="P388" i="1"/>
  <c r="O388" i="1"/>
  <c r="N388" i="1"/>
  <c r="L388" i="1"/>
  <c r="K388" i="1"/>
  <c r="H387" i="1"/>
  <c r="G386" i="1"/>
  <c r="I384" i="1"/>
  <c r="W384" i="1" s="1"/>
  <c r="H384" i="1"/>
  <c r="J383" i="1"/>
  <c r="W383" i="1" s="1"/>
  <c r="G383" i="1"/>
  <c r="I382" i="1"/>
  <c r="W382" i="1" s="1"/>
  <c r="H382" i="1"/>
  <c r="I381" i="1"/>
  <c r="W381" i="1" s="1"/>
  <c r="H381" i="1"/>
  <c r="M380" i="1"/>
  <c r="M381" i="1" s="1"/>
  <c r="J380" i="1"/>
  <c r="W380" i="1" s="1"/>
  <c r="W379" i="1"/>
  <c r="H379" i="1"/>
  <c r="G379" i="1"/>
  <c r="W378" i="1"/>
  <c r="H378" i="1"/>
  <c r="G378" i="1"/>
  <c r="W377" i="1"/>
  <c r="H377" i="1"/>
  <c r="G377" i="1"/>
  <c r="P376" i="1"/>
  <c r="O376" i="1"/>
  <c r="N376" i="1"/>
  <c r="L376" i="1"/>
  <c r="K376" i="1"/>
  <c r="H375" i="1"/>
  <c r="I373" i="1"/>
  <c r="H373" i="1"/>
  <c r="G373" i="1"/>
  <c r="I372" i="1"/>
  <c r="W372" i="1" s="1"/>
  <c r="H372" i="1"/>
  <c r="G372" i="1"/>
  <c r="J371" i="1"/>
  <c r="W371" i="1" s="1"/>
  <c r="G371" i="1"/>
  <c r="I370" i="1"/>
  <c r="W370" i="1" s="1"/>
  <c r="H370" i="1"/>
  <c r="W369" i="1"/>
  <c r="H369" i="1"/>
  <c r="M368" i="1"/>
  <c r="M369" i="1" s="1"/>
  <c r="J368" i="1"/>
  <c r="W368" i="1" s="1"/>
  <c r="W367" i="1"/>
  <c r="H367" i="1"/>
  <c r="G367" i="1"/>
  <c r="W366" i="1"/>
  <c r="H366" i="1"/>
  <c r="G366" i="1"/>
  <c r="W365" i="1"/>
  <c r="H365" i="1"/>
  <c r="G365" i="1"/>
  <c r="P364" i="1"/>
  <c r="O364" i="1"/>
  <c r="N364" i="1"/>
  <c r="L364" i="1"/>
  <c r="K364" i="1"/>
  <c r="H363" i="1"/>
  <c r="I363" i="1"/>
  <c r="H362" i="1"/>
  <c r="G362" i="1"/>
  <c r="W361" i="1"/>
  <c r="G361" i="1"/>
  <c r="I360" i="1"/>
  <c r="W360" i="1" s="1"/>
  <c r="H360" i="1"/>
  <c r="J359" i="1"/>
  <c r="G359" i="1"/>
  <c r="I358" i="1"/>
  <c r="W358" i="1" s="1"/>
  <c r="H358" i="1"/>
  <c r="I357" i="1"/>
  <c r="W357" i="1" s="1"/>
  <c r="H357" i="1"/>
  <c r="M356" i="1"/>
  <c r="M357" i="1" s="1"/>
  <c r="J356" i="1"/>
  <c r="W356" i="1" s="1"/>
  <c r="W355" i="1"/>
  <c r="H355" i="1"/>
  <c r="G355" i="1"/>
  <c r="W354" i="1"/>
  <c r="H354" i="1"/>
  <c r="G354" i="1"/>
  <c r="W353" i="1"/>
  <c r="H353" i="1"/>
  <c r="G353" i="1"/>
  <c r="P352" i="1"/>
  <c r="O352" i="1"/>
  <c r="N352" i="1"/>
  <c r="L352" i="1"/>
  <c r="K352" i="1"/>
  <c r="H351" i="1"/>
  <c r="H350" i="1"/>
  <c r="H349" i="1"/>
  <c r="O348" i="1"/>
  <c r="I348" i="1"/>
  <c r="W348" i="1" s="1"/>
  <c r="H348" i="1"/>
  <c r="H347" i="1"/>
  <c r="H346" i="1"/>
  <c r="H345" i="1"/>
  <c r="J344" i="1"/>
  <c r="H344" i="1" s="1"/>
  <c r="I343" i="1"/>
  <c r="I344" i="1" s="1"/>
  <c r="H343" i="1"/>
  <c r="M342" i="1"/>
  <c r="M343" i="1" s="1"/>
  <c r="I342" i="1"/>
  <c r="W342" i="1" s="1"/>
  <c r="H342" i="1"/>
  <c r="W341" i="1"/>
  <c r="P341" i="1"/>
  <c r="H341" i="1" s="1"/>
  <c r="G341" i="1"/>
  <c r="P340" i="1"/>
  <c r="O340" i="1"/>
  <c r="N340" i="1"/>
  <c r="L340" i="1"/>
  <c r="K340" i="1"/>
  <c r="W339" i="1"/>
  <c r="W338" i="1"/>
  <c r="W337" i="1"/>
  <c r="W336" i="1"/>
  <c r="W335" i="1"/>
  <c r="M334" i="1"/>
  <c r="M333" i="1" s="1"/>
  <c r="J334" i="1"/>
  <c r="I334" i="1" s="1"/>
  <c r="P333" i="1"/>
  <c r="O333" i="1"/>
  <c r="N333" i="1"/>
  <c r="L333" i="1"/>
  <c r="K333" i="1"/>
  <c r="W332" i="1"/>
  <c r="W331" i="1"/>
  <c r="W330" i="1"/>
  <c r="W329" i="1"/>
  <c r="W328" i="1"/>
  <c r="P327" i="1"/>
  <c r="I327" i="1"/>
  <c r="W327" i="1" s="1"/>
  <c r="H327" i="1"/>
  <c r="H326" i="1" s="1"/>
  <c r="G327" i="1"/>
  <c r="G326" i="1" s="1"/>
  <c r="P326" i="1"/>
  <c r="O326" i="1"/>
  <c r="N326" i="1"/>
  <c r="M326" i="1"/>
  <c r="L326" i="1"/>
  <c r="K326" i="1"/>
  <c r="J326" i="1"/>
  <c r="I326" i="1"/>
  <c r="W325" i="1"/>
  <c r="W324" i="1"/>
  <c r="W323" i="1"/>
  <c r="W322" i="1"/>
  <c r="W321" i="1"/>
  <c r="P320" i="1"/>
  <c r="H320" i="1" s="1"/>
  <c r="H319" i="1" s="1"/>
  <c r="I320" i="1"/>
  <c r="W320" i="1" s="1"/>
  <c r="P319" i="1"/>
  <c r="O319" i="1"/>
  <c r="N319" i="1"/>
  <c r="M319" i="1"/>
  <c r="L319" i="1"/>
  <c r="K319" i="1"/>
  <c r="J319" i="1"/>
  <c r="I319" i="1"/>
  <c r="W318" i="1"/>
  <c r="W317" i="1"/>
  <c r="W316" i="1"/>
  <c r="W315" i="1"/>
  <c r="W314" i="1"/>
  <c r="P313" i="1"/>
  <c r="I313" i="1"/>
  <c r="W313" i="1" s="1"/>
  <c r="H313" i="1"/>
  <c r="H312" i="1" s="1"/>
  <c r="P312" i="1"/>
  <c r="O312" i="1"/>
  <c r="N312" i="1"/>
  <c r="M312" i="1"/>
  <c r="L312" i="1"/>
  <c r="K312" i="1"/>
  <c r="J312" i="1"/>
  <c r="W311" i="1"/>
  <c r="O311" i="1"/>
  <c r="H311" i="1"/>
  <c r="G311" i="1"/>
  <c r="W310" i="1"/>
  <c r="O310" i="1"/>
  <c r="H310" i="1"/>
  <c r="G310" i="1"/>
  <c r="W309" i="1"/>
  <c r="O309" i="1"/>
  <c r="H309" i="1"/>
  <c r="G309" i="1"/>
  <c r="W308" i="1"/>
  <c r="O308" i="1"/>
  <c r="H308" i="1"/>
  <c r="G308" i="1"/>
  <c r="W307" i="1"/>
  <c r="O307" i="1"/>
  <c r="H307" i="1"/>
  <c r="G307" i="1"/>
  <c r="W306" i="1"/>
  <c r="O306" i="1"/>
  <c r="G306" i="1" s="1"/>
  <c r="H306" i="1"/>
  <c r="H305" i="1" s="1"/>
  <c r="P305" i="1"/>
  <c r="N305" i="1"/>
  <c r="M305" i="1"/>
  <c r="L305" i="1"/>
  <c r="K305" i="1"/>
  <c r="J305" i="1"/>
  <c r="I305" i="1"/>
  <c r="W304" i="1"/>
  <c r="O304" i="1"/>
  <c r="G304" i="1" s="1"/>
  <c r="H304" i="1"/>
  <c r="W303" i="1"/>
  <c r="O303" i="1"/>
  <c r="G303" i="1" s="1"/>
  <c r="H303" i="1"/>
  <c r="W302" i="1"/>
  <c r="O302" i="1"/>
  <c r="G302" i="1" s="1"/>
  <c r="H302" i="1"/>
  <c r="W301" i="1"/>
  <c r="O301" i="1"/>
  <c r="G301" i="1" s="1"/>
  <c r="H301" i="1"/>
  <c r="W300" i="1"/>
  <c r="O300" i="1"/>
  <c r="G300" i="1" s="1"/>
  <c r="H300" i="1"/>
  <c r="W299" i="1"/>
  <c r="O299" i="1"/>
  <c r="G299" i="1" s="1"/>
  <c r="H299" i="1"/>
  <c r="P298" i="1"/>
  <c r="O298" i="1"/>
  <c r="N298" i="1"/>
  <c r="M298" i="1"/>
  <c r="L298" i="1"/>
  <c r="K298" i="1"/>
  <c r="J298" i="1"/>
  <c r="I298" i="1"/>
  <c r="H298" i="1"/>
  <c r="W297" i="1"/>
  <c r="W296" i="1"/>
  <c r="W295" i="1"/>
  <c r="W294" i="1"/>
  <c r="W293" i="1"/>
  <c r="P292" i="1"/>
  <c r="I292" i="1"/>
  <c r="W292" i="1" s="1"/>
  <c r="H292" i="1"/>
  <c r="H291" i="1" s="1"/>
  <c r="G292" i="1"/>
  <c r="P291" i="1"/>
  <c r="O291" i="1"/>
  <c r="N291" i="1"/>
  <c r="M291" i="1"/>
  <c r="L291" i="1"/>
  <c r="K291" i="1"/>
  <c r="J291" i="1"/>
  <c r="I291" i="1"/>
  <c r="G291" i="1"/>
  <c r="W290" i="1"/>
  <c r="W289" i="1"/>
  <c r="W288" i="1"/>
  <c r="W287" i="1"/>
  <c r="W286" i="1"/>
  <c r="W285" i="1"/>
  <c r="P285" i="1"/>
  <c r="H285" i="1" s="1"/>
  <c r="H284" i="1" s="1"/>
  <c r="G285" i="1"/>
  <c r="O284" i="1"/>
  <c r="N284" i="1"/>
  <c r="M284" i="1"/>
  <c r="L284" i="1"/>
  <c r="K284" i="1"/>
  <c r="J284" i="1"/>
  <c r="I284" i="1"/>
  <c r="G284" i="1"/>
  <c r="H283" i="1"/>
  <c r="H282" i="1"/>
  <c r="I282" i="1"/>
  <c r="H281" i="1"/>
  <c r="G281" i="1"/>
  <c r="W280" i="1"/>
  <c r="H280" i="1"/>
  <c r="G280" i="1"/>
  <c r="W279" i="1"/>
  <c r="H279" i="1"/>
  <c r="G279" i="1"/>
  <c r="W278" i="1"/>
  <c r="H278" i="1"/>
  <c r="J277" i="1"/>
  <c r="W277" i="1" s="1"/>
  <c r="I276" i="1"/>
  <c r="W276" i="1" s="1"/>
  <c r="H276" i="1"/>
  <c r="J275" i="1"/>
  <c r="I275" i="1" s="1"/>
  <c r="O274" i="1"/>
  <c r="O275" i="1" s="1"/>
  <c r="J274" i="1"/>
  <c r="O273" i="1"/>
  <c r="I273" i="1"/>
  <c r="W273" i="1" s="1"/>
  <c r="H273" i="1"/>
  <c r="P272" i="1"/>
  <c r="N272" i="1"/>
  <c r="M272" i="1"/>
  <c r="L272" i="1"/>
  <c r="K272" i="1"/>
  <c r="O271" i="1"/>
  <c r="O259" i="1" s="1"/>
  <c r="J271" i="1"/>
  <c r="H271" i="1" s="1"/>
  <c r="O270" i="1"/>
  <c r="O258" i="1" s="1"/>
  <c r="N258" i="1"/>
  <c r="J270" i="1"/>
  <c r="O257" i="1"/>
  <c r="T269" i="1"/>
  <c r="P268" i="1"/>
  <c r="O268" i="1" s="1"/>
  <c r="I268" i="1"/>
  <c r="X268" i="1" s="1"/>
  <c r="H268" i="1"/>
  <c r="P267" i="1"/>
  <c r="O267" i="1" s="1"/>
  <c r="O255" i="1" s="1"/>
  <c r="M267" i="1"/>
  <c r="M268" i="1" s="1"/>
  <c r="P266" i="1"/>
  <c r="P254" i="1" s="1"/>
  <c r="I266" i="1"/>
  <c r="I267" i="1" s="1"/>
  <c r="H266" i="1"/>
  <c r="O265" i="1"/>
  <c r="P265" i="1" s="1"/>
  <c r="J265" i="1"/>
  <c r="I265" i="1" s="1"/>
  <c r="W265" i="1" s="1"/>
  <c r="P264" i="1"/>
  <c r="P252" i="1" s="1"/>
  <c r="N264" i="1"/>
  <c r="N252" i="1" s="1"/>
  <c r="K264" i="1"/>
  <c r="K252" i="1" s="1"/>
  <c r="O263" i="1"/>
  <c r="P263" i="1" s="1"/>
  <c r="N263" i="1"/>
  <c r="O262" i="1"/>
  <c r="P262" i="1" s="1"/>
  <c r="P250" i="1" s="1"/>
  <c r="N262" i="1"/>
  <c r="M262" i="1" s="1"/>
  <c r="J262" i="1"/>
  <c r="P261" i="1"/>
  <c r="H261" i="1" s="1"/>
  <c r="M261" i="1"/>
  <c r="I261" i="1"/>
  <c r="W261" i="1" s="1"/>
  <c r="L260" i="1"/>
  <c r="K260" i="1"/>
  <c r="P259" i="1"/>
  <c r="N259" i="1"/>
  <c r="L259" i="1"/>
  <c r="K259" i="1"/>
  <c r="P258" i="1"/>
  <c r="L258" i="1"/>
  <c r="K258" i="1"/>
  <c r="P257" i="1"/>
  <c r="L257" i="1"/>
  <c r="K257" i="1"/>
  <c r="N256" i="1"/>
  <c r="L256" i="1"/>
  <c r="K256" i="1"/>
  <c r="J256" i="1"/>
  <c r="N255" i="1"/>
  <c r="L255" i="1"/>
  <c r="K255" i="1"/>
  <c r="N254" i="1"/>
  <c r="L254" i="1"/>
  <c r="K254" i="1"/>
  <c r="J254" i="1"/>
  <c r="N253" i="1"/>
  <c r="L253" i="1"/>
  <c r="K253" i="1"/>
  <c r="L252" i="1"/>
  <c r="L251" i="1"/>
  <c r="K251" i="1"/>
  <c r="L250" i="1"/>
  <c r="K250" i="1"/>
  <c r="N249" i="1"/>
  <c r="L249" i="1"/>
  <c r="K249" i="1"/>
  <c r="H247" i="1"/>
  <c r="H246" i="1"/>
  <c r="H245" i="1"/>
  <c r="O244" i="1"/>
  <c r="H244" i="1"/>
  <c r="P243" i="1"/>
  <c r="H243" i="1" s="1"/>
  <c r="I242" i="1"/>
  <c r="G242" i="1" s="1"/>
  <c r="H242" i="1"/>
  <c r="W241" i="1"/>
  <c r="H241" i="1"/>
  <c r="G241" i="1"/>
  <c r="J240" i="1"/>
  <c r="W240" i="1" s="1"/>
  <c r="G240" i="1"/>
  <c r="I239" i="1"/>
  <c r="G239" i="1" s="1"/>
  <c r="H239" i="1"/>
  <c r="J238" i="1"/>
  <c r="I238" i="1" s="1"/>
  <c r="W237" i="1"/>
  <c r="P237" i="1"/>
  <c r="G237" i="1"/>
  <c r="O236" i="1"/>
  <c r="N236" i="1"/>
  <c r="M236" i="1"/>
  <c r="L236" i="1"/>
  <c r="K236" i="1"/>
  <c r="W235" i="1"/>
  <c r="O235" i="1"/>
  <c r="H235" i="1"/>
  <c r="G235" i="1"/>
  <c r="W234" i="1"/>
  <c r="O234" i="1"/>
  <c r="H234" i="1"/>
  <c r="G234" i="1"/>
  <c r="W233" i="1"/>
  <c r="O233" i="1"/>
  <c r="O164" i="1" s="1"/>
  <c r="H233" i="1"/>
  <c r="G233" i="1"/>
  <c r="W232" i="1"/>
  <c r="O232" i="1"/>
  <c r="G232" i="1" s="1"/>
  <c r="H232" i="1"/>
  <c r="W231" i="1"/>
  <c r="O231" i="1"/>
  <c r="G231" i="1" s="1"/>
  <c r="H231" i="1"/>
  <c r="W230" i="1"/>
  <c r="O230" i="1"/>
  <c r="G230" i="1" s="1"/>
  <c r="H230" i="1"/>
  <c r="H229" i="1" s="1"/>
  <c r="P229" i="1"/>
  <c r="N229" i="1"/>
  <c r="M229" i="1"/>
  <c r="L229" i="1"/>
  <c r="K229" i="1"/>
  <c r="J229" i="1"/>
  <c r="I229" i="1"/>
  <c r="W228" i="1"/>
  <c r="W227" i="1"/>
  <c r="W226" i="1"/>
  <c r="W225" i="1"/>
  <c r="W224" i="1"/>
  <c r="P223" i="1"/>
  <c r="P222" i="1" s="1"/>
  <c r="I223" i="1"/>
  <c r="W223" i="1" s="1"/>
  <c r="H223" i="1"/>
  <c r="H222" i="1" s="1"/>
  <c r="O222" i="1"/>
  <c r="N222" i="1"/>
  <c r="M222" i="1"/>
  <c r="L222" i="1"/>
  <c r="K222" i="1"/>
  <c r="J222" i="1"/>
  <c r="W221" i="1"/>
  <c r="W220" i="1"/>
  <c r="W219" i="1"/>
  <c r="W218" i="1"/>
  <c r="W217" i="1"/>
  <c r="W216" i="1"/>
  <c r="P216" i="1"/>
  <c r="G216" i="1"/>
  <c r="G215" i="1" s="1"/>
  <c r="O215" i="1"/>
  <c r="N215" i="1"/>
  <c r="M215" i="1"/>
  <c r="L215" i="1"/>
  <c r="K215" i="1"/>
  <c r="J215" i="1"/>
  <c r="I215" i="1"/>
  <c r="W214" i="1"/>
  <c r="W213" i="1"/>
  <c r="W212" i="1"/>
  <c r="W211" i="1"/>
  <c r="W210" i="1"/>
  <c r="W209" i="1"/>
  <c r="P209" i="1"/>
  <c r="G209" i="1"/>
  <c r="G208" i="1" s="1"/>
  <c r="O208" i="1"/>
  <c r="N208" i="1"/>
  <c r="M208" i="1"/>
  <c r="L208" i="1"/>
  <c r="K208" i="1"/>
  <c r="J208" i="1"/>
  <c r="I208" i="1"/>
  <c r="W207" i="1"/>
  <c r="W206" i="1"/>
  <c r="W205" i="1"/>
  <c r="W204" i="1"/>
  <c r="W203" i="1"/>
  <c r="W202" i="1"/>
  <c r="W201" i="1"/>
  <c r="W200" i="1"/>
  <c r="H200" i="1"/>
  <c r="G200" i="1"/>
  <c r="O199" i="1"/>
  <c r="O175" i="1" s="1"/>
  <c r="I199" i="1"/>
  <c r="W199" i="1" s="1"/>
  <c r="H199" i="1"/>
  <c r="P198" i="1"/>
  <c r="H198" i="1" s="1"/>
  <c r="I198" i="1"/>
  <c r="G198" i="1" s="1"/>
  <c r="P197" i="1"/>
  <c r="P196" i="1" s="1"/>
  <c r="I197" i="1"/>
  <c r="G197" i="1" s="1"/>
  <c r="N196" i="1"/>
  <c r="M196" i="1"/>
  <c r="L196" i="1"/>
  <c r="K196" i="1"/>
  <c r="J196" i="1"/>
  <c r="W195" i="1"/>
  <c r="W194" i="1"/>
  <c r="W193" i="1"/>
  <c r="W192" i="1"/>
  <c r="W191" i="1"/>
  <c r="W190" i="1"/>
  <c r="W189" i="1"/>
  <c r="P189" i="1"/>
  <c r="H189" i="1" s="1"/>
  <c r="G189" i="1"/>
  <c r="P188" i="1"/>
  <c r="J188" i="1"/>
  <c r="W188" i="1" s="1"/>
  <c r="G188" i="1"/>
  <c r="P187" i="1"/>
  <c r="H187" i="1" s="1"/>
  <c r="I187" i="1"/>
  <c r="W187" i="1" s="1"/>
  <c r="P186" i="1"/>
  <c r="I186" i="1"/>
  <c r="W186" i="1" s="1"/>
  <c r="H186" i="1"/>
  <c r="P185" i="1"/>
  <c r="H185" i="1" s="1"/>
  <c r="I185" i="1"/>
  <c r="W185" i="1" s="1"/>
  <c r="O184" i="1"/>
  <c r="N184" i="1"/>
  <c r="M184" i="1"/>
  <c r="L184" i="1"/>
  <c r="K184" i="1"/>
  <c r="O183" i="1"/>
  <c r="O171" i="1" s="1"/>
  <c r="O42" i="1" s="1"/>
  <c r="J183" i="1"/>
  <c r="O182" i="1"/>
  <c r="O170" i="1" s="1"/>
  <c r="O41" i="1" s="1"/>
  <c r="J182" i="1"/>
  <c r="H182" i="1" s="1"/>
  <c r="O169" i="1"/>
  <c r="O40" i="1" s="1"/>
  <c r="I181" i="1"/>
  <c r="I182" i="1" s="1"/>
  <c r="H181" i="1"/>
  <c r="P180" i="1"/>
  <c r="P168" i="1" s="1"/>
  <c r="P39" i="1" s="1"/>
  <c r="J180" i="1"/>
  <c r="J168" i="1" s="1"/>
  <c r="J39" i="1" s="1"/>
  <c r="I180" i="1"/>
  <c r="W179" i="1"/>
  <c r="M179" i="1"/>
  <c r="W178" i="1"/>
  <c r="R178" i="1"/>
  <c r="O178" i="1"/>
  <c r="O177" i="1"/>
  <c r="G177" i="1" s="1"/>
  <c r="J177" i="1"/>
  <c r="W177" i="1" s="1"/>
  <c r="W176" i="1"/>
  <c r="P176" i="1"/>
  <c r="N176" i="1"/>
  <c r="N164" i="1" s="1"/>
  <c r="N35" i="1" s="1"/>
  <c r="G176" i="1"/>
  <c r="N175" i="1"/>
  <c r="M175" i="1" s="1"/>
  <c r="M163" i="1" s="1"/>
  <c r="M34" i="1" s="1"/>
  <c r="J175" i="1"/>
  <c r="I175" i="1" s="1"/>
  <c r="O174" i="1"/>
  <c r="N174" i="1"/>
  <c r="M174" i="1" s="1"/>
  <c r="M162" i="1" s="1"/>
  <c r="M33" i="1" s="1"/>
  <c r="P173" i="1"/>
  <c r="H173" i="1" s="1"/>
  <c r="M173" i="1"/>
  <c r="M161" i="1" s="1"/>
  <c r="M32" i="1" s="1"/>
  <c r="I173" i="1"/>
  <c r="L172" i="1"/>
  <c r="K172" i="1"/>
  <c r="P171" i="1"/>
  <c r="P42" i="1" s="1"/>
  <c r="N171" i="1"/>
  <c r="N42" i="1" s="1"/>
  <c r="L171" i="1"/>
  <c r="L42" i="1" s="1"/>
  <c r="K171" i="1"/>
  <c r="K42" i="1" s="1"/>
  <c r="P170" i="1"/>
  <c r="P41" i="1" s="1"/>
  <c r="N170" i="1"/>
  <c r="N41" i="1" s="1"/>
  <c r="L170" i="1"/>
  <c r="L41" i="1" s="1"/>
  <c r="K170" i="1"/>
  <c r="K41" i="1" s="1"/>
  <c r="P169" i="1"/>
  <c r="P40" i="1" s="1"/>
  <c r="N169" i="1"/>
  <c r="N40" i="1" s="1"/>
  <c r="L169" i="1"/>
  <c r="L40" i="1" s="1"/>
  <c r="K169" i="1"/>
  <c r="K40" i="1" s="1"/>
  <c r="J169" i="1"/>
  <c r="U168" i="1"/>
  <c r="N168" i="1"/>
  <c r="N39" i="1" s="1"/>
  <c r="L168" i="1"/>
  <c r="L39" i="1" s="1"/>
  <c r="K168" i="1"/>
  <c r="K39" i="1" s="1"/>
  <c r="N167" i="1"/>
  <c r="N38" i="1" s="1"/>
  <c r="L167" i="1"/>
  <c r="L38" i="1" s="1"/>
  <c r="K167" i="1"/>
  <c r="K38" i="1" s="1"/>
  <c r="J167" i="1"/>
  <c r="J38" i="1" s="1"/>
  <c r="N166" i="1"/>
  <c r="N37" i="1" s="1"/>
  <c r="M166" i="1"/>
  <c r="M37" i="1" s="1"/>
  <c r="L166" i="1"/>
  <c r="L37" i="1" s="1"/>
  <c r="K166" i="1"/>
  <c r="K37" i="1" s="1"/>
  <c r="J166" i="1"/>
  <c r="J37" i="1" s="1"/>
  <c r="N165" i="1"/>
  <c r="N36" i="1" s="1"/>
  <c r="M165" i="1"/>
  <c r="M36" i="1" s="1"/>
  <c r="L165" i="1"/>
  <c r="L36" i="1" s="1"/>
  <c r="K165" i="1"/>
  <c r="K36" i="1" s="1"/>
  <c r="I165" i="1"/>
  <c r="I36" i="1" s="1"/>
  <c r="M164" i="1"/>
  <c r="M35" i="1" s="1"/>
  <c r="L164" i="1"/>
  <c r="L35" i="1" s="1"/>
  <c r="K164" i="1"/>
  <c r="K35" i="1" s="1"/>
  <c r="I164" i="1"/>
  <c r="I35" i="1" s="1"/>
  <c r="L163" i="1"/>
  <c r="L34" i="1" s="1"/>
  <c r="K163" i="1"/>
  <c r="K34" i="1" s="1"/>
  <c r="L162" i="1"/>
  <c r="L33" i="1" s="1"/>
  <c r="K162" i="1"/>
  <c r="K33" i="1" s="1"/>
  <c r="N161" i="1"/>
  <c r="N32" i="1" s="1"/>
  <c r="L161" i="1"/>
  <c r="L32" i="1" s="1"/>
  <c r="K161" i="1"/>
  <c r="K32" i="1" s="1"/>
  <c r="J161" i="1"/>
  <c r="J32" i="1" s="1"/>
  <c r="W159" i="1"/>
  <c r="H159" i="1"/>
  <c r="G159" i="1"/>
  <c r="W158" i="1"/>
  <c r="H158" i="1"/>
  <c r="G158" i="1"/>
  <c r="W157" i="1"/>
  <c r="H157" i="1"/>
  <c r="G157" i="1"/>
  <c r="W156" i="1"/>
  <c r="H156" i="1"/>
  <c r="G156" i="1"/>
  <c r="W155" i="1"/>
  <c r="H155" i="1"/>
  <c r="G155" i="1"/>
  <c r="W154" i="1"/>
  <c r="H154" i="1"/>
  <c r="G154" i="1"/>
  <c r="W153" i="1"/>
  <c r="H153" i="1"/>
  <c r="G153" i="1"/>
  <c r="W152" i="1"/>
  <c r="H152" i="1"/>
  <c r="G152" i="1"/>
  <c r="W151" i="1"/>
  <c r="H151" i="1"/>
  <c r="G151" i="1"/>
  <c r="W150" i="1"/>
  <c r="H150" i="1"/>
  <c r="G150" i="1"/>
  <c r="W149" i="1"/>
  <c r="H149" i="1"/>
  <c r="G149" i="1"/>
  <c r="P148" i="1"/>
  <c r="O148" i="1"/>
  <c r="N148" i="1"/>
  <c r="M148" i="1"/>
  <c r="L148" i="1"/>
  <c r="K148" i="1"/>
  <c r="J148" i="1"/>
  <c r="I148" i="1"/>
  <c r="W147" i="1"/>
  <c r="W146" i="1"/>
  <c r="W145" i="1"/>
  <c r="W144" i="1"/>
  <c r="W143" i="1"/>
  <c r="W142" i="1"/>
  <c r="P142" i="1"/>
  <c r="G142" i="1"/>
  <c r="O141" i="1"/>
  <c r="N141" i="1"/>
  <c r="M141" i="1"/>
  <c r="L141" i="1"/>
  <c r="K141" i="1"/>
  <c r="J141" i="1"/>
  <c r="I141" i="1"/>
  <c r="G141" i="1"/>
  <c r="O140" i="1"/>
  <c r="O128" i="1" s="1"/>
  <c r="J140" i="1"/>
  <c r="H140" i="1" s="1"/>
  <c r="O139" i="1"/>
  <c r="O127" i="1" s="1"/>
  <c r="N127" i="1"/>
  <c r="J139" i="1"/>
  <c r="O126" i="1"/>
  <c r="J126" i="1"/>
  <c r="O137" i="1"/>
  <c r="O125" i="1" s="1"/>
  <c r="N137" i="1"/>
  <c r="M137" i="1" s="1"/>
  <c r="J137" i="1"/>
  <c r="J125" i="1" s="1"/>
  <c r="I137" i="1"/>
  <c r="I138" i="1" s="1"/>
  <c r="O136" i="1"/>
  <c r="O124" i="1" s="1"/>
  <c r="M136" i="1"/>
  <c r="I136" i="1"/>
  <c r="W136" i="1" s="1"/>
  <c r="H136" i="1"/>
  <c r="W135" i="1"/>
  <c r="R135" i="1"/>
  <c r="P135" i="1"/>
  <c r="P123" i="1" s="1"/>
  <c r="M135" i="1"/>
  <c r="M123" i="1" s="1"/>
  <c r="O134" i="1"/>
  <c r="P134" i="1" s="1"/>
  <c r="J134" i="1"/>
  <c r="J122" i="1" s="1"/>
  <c r="O133" i="1"/>
  <c r="P133" i="1" s="1"/>
  <c r="N133" i="1"/>
  <c r="N121" i="1" s="1"/>
  <c r="O132" i="1"/>
  <c r="P132" i="1" s="1"/>
  <c r="P120" i="1" s="1"/>
  <c r="N132" i="1"/>
  <c r="M132" i="1" s="1"/>
  <c r="J132" i="1"/>
  <c r="I132" i="1" s="1"/>
  <c r="O131" i="1"/>
  <c r="P131" i="1" s="1"/>
  <c r="N131" i="1"/>
  <c r="N119" i="1" s="1"/>
  <c r="J131" i="1"/>
  <c r="I131" i="1" s="1"/>
  <c r="P130" i="1"/>
  <c r="H130" i="1" s="1"/>
  <c r="M130" i="1"/>
  <c r="M118" i="1" s="1"/>
  <c r="I130" i="1"/>
  <c r="W130" i="1" s="1"/>
  <c r="L129" i="1"/>
  <c r="K129" i="1"/>
  <c r="P128" i="1"/>
  <c r="N128" i="1"/>
  <c r="L128" i="1"/>
  <c r="K128" i="1"/>
  <c r="P127" i="1"/>
  <c r="L127" i="1"/>
  <c r="K127" i="1"/>
  <c r="P126" i="1"/>
  <c r="N126" i="1"/>
  <c r="L126" i="1"/>
  <c r="K126" i="1"/>
  <c r="P125" i="1"/>
  <c r="L125" i="1"/>
  <c r="K125" i="1"/>
  <c r="P124" i="1"/>
  <c r="N124" i="1"/>
  <c r="L124" i="1"/>
  <c r="K124" i="1"/>
  <c r="J124" i="1"/>
  <c r="O123" i="1"/>
  <c r="N123" i="1"/>
  <c r="L123" i="1"/>
  <c r="K123" i="1"/>
  <c r="J123" i="1"/>
  <c r="I123" i="1"/>
  <c r="N122" i="1"/>
  <c r="M122" i="1"/>
  <c r="L122" i="1"/>
  <c r="K122" i="1"/>
  <c r="O121" i="1"/>
  <c r="M121" i="1"/>
  <c r="L121" i="1"/>
  <c r="K121" i="1"/>
  <c r="J121" i="1"/>
  <c r="L120" i="1"/>
  <c r="K120" i="1"/>
  <c r="L119" i="1"/>
  <c r="K119" i="1"/>
  <c r="O118" i="1"/>
  <c r="N118" i="1"/>
  <c r="L118" i="1"/>
  <c r="K118" i="1"/>
  <c r="J118" i="1"/>
  <c r="H116" i="1"/>
  <c r="W115" i="1"/>
  <c r="H115" i="1"/>
  <c r="W114" i="1"/>
  <c r="H114" i="1"/>
  <c r="G114" i="1"/>
  <c r="W113" i="1"/>
  <c r="H113" i="1"/>
  <c r="G113" i="1"/>
  <c r="H112" i="1"/>
  <c r="I111" i="1"/>
  <c r="W111" i="1" s="1"/>
  <c r="H111" i="1"/>
  <c r="G111" i="1"/>
  <c r="H110" i="1"/>
  <c r="I109" i="1"/>
  <c r="W109" i="1" s="1"/>
  <c r="H109" i="1"/>
  <c r="W108" i="1"/>
  <c r="H108" i="1"/>
  <c r="G108" i="1"/>
  <c r="W107" i="1"/>
  <c r="H107" i="1"/>
  <c r="G107" i="1"/>
  <c r="W106" i="1"/>
  <c r="H106" i="1"/>
  <c r="G106" i="1"/>
  <c r="P105" i="1"/>
  <c r="O105" i="1"/>
  <c r="N105" i="1"/>
  <c r="M105" i="1"/>
  <c r="L105" i="1"/>
  <c r="K105" i="1"/>
  <c r="J105" i="1"/>
  <c r="W104" i="1"/>
  <c r="H104" i="1"/>
  <c r="G104" i="1"/>
  <c r="W103" i="1"/>
  <c r="H103" i="1"/>
  <c r="G103" i="1"/>
  <c r="I102" i="1"/>
  <c r="W102" i="1" s="1"/>
  <c r="H102" i="1"/>
  <c r="I101" i="1"/>
  <c r="G101" i="1" s="1"/>
  <c r="H101" i="1"/>
  <c r="W100" i="1"/>
  <c r="H100" i="1"/>
  <c r="G100" i="1"/>
  <c r="H99" i="1"/>
  <c r="H98" i="1"/>
  <c r="O97" i="1"/>
  <c r="O98" i="1" s="1"/>
  <c r="J97" i="1"/>
  <c r="H97" i="1" s="1"/>
  <c r="I96" i="1"/>
  <c r="I97" i="1" s="1"/>
  <c r="H96" i="1"/>
  <c r="I95" i="1"/>
  <c r="W95" i="1" s="1"/>
  <c r="H95" i="1"/>
  <c r="W94" i="1"/>
  <c r="P94" i="1"/>
  <c r="G94" i="1"/>
  <c r="N93" i="1"/>
  <c r="M93" i="1"/>
  <c r="L93" i="1"/>
  <c r="K93" i="1"/>
  <c r="W92" i="1"/>
  <c r="H92" i="1"/>
  <c r="G92" i="1"/>
  <c r="W91" i="1"/>
  <c r="H91" i="1"/>
  <c r="G91" i="1"/>
  <c r="W90" i="1"/>
  <c r="H90" i="1"/>
  <c r="G90" i="1"/>
  <c r="W89" i="1"/>
  <c r="H89" i="1"/>
  <c r="G89" i="1"/>
  <c r="W88" i="1"/>
  <c r="H88" i="1"/>
  <c r="G88" i="1"/>
  <c r="W87" i="1"/>
  <c r="H87" i="1"/>
  <c r="G87" i="1"/>
  <c r="P86" i="1"/>
  <c r="O86" i="1"/>
  <c r="N86" i="1"/>
  <c r="M86" i="1"/>
  <c r="L86" i="1"/>
  <c r="K86" i="1"/>
  <c r="J86" i="1"/>
  <c r="I86" i="1"/>
  <c r="W85" i="1"/>
  <c r="W84" i="1"/>
  <c r="W83" i="1"/>
  <c r="W82" i="1"/>
  <c r="W81" i="1"/>
  <c r="W80" i="1"/>
  <c r="P80" i="1"/>
  <c r="P79" i="1" s="1"/>
  <c r="M80" i="1"/>
  <c r="G80" i="1" s="1"/>
  <c r="G79" i="1" s="1"/>
  <c r="O79" i="1"/>
  <c r="N79" i="1"/>
  <c r="L79" i="1"/>
  <c r="K79" i="1"/>
  <c r="J79" i="1"/>
  <c r="I79" i="1"/>
  <c r="O78" i="1"/>
  <c r="J78" i="1"/>
  <c r="H78" i="1" s="1"/>
  <c r="O77" i="1"/>
  <c r="O65" i="1" s="1"/>
  <c r="J77" i="1"/>
  <c r="O64" i="1"/>
  <c r="I76" i="1"/>
  <c r="W76" i="1" s="1"/>
  <c r="H76" i="1"/>
  <c r="O75" i="1"/>
  <c r="O63" i="1" s="1"/>
  <c r="N75" i="1"/>
  <c r="N63" i="1" s="1"/>
  <c r="L75" i="1"/>
  <c r="K75" i="1" s="1"/>
  <c r="J75" i="1"/>
  <c r="W75" i="1" s="1"/>
  <c r="W74" i="1"/>
  <c r="O74" i="1"/>
  <c r="O62" i="1" s="1"/>
  <c r="H74" i="1"/>
  <c r="P73" i="1"/>
  <c r="H73" i="1" s="1"/>
  <c r="I73" i="1"/>
  <c r="W73" i="1" s="1"/>
  <c r="O72" i="1"/>
  <c r="P72" i="1" s="1"/>
  <c r="P60" i="1" s="1"/>
  <c r="M72" i="1"/>
  <c r="M73" i="1" s="1"/>
  <c r="J72" i="1"/>
  <c r="P71" i="1"/>
  <c r="H71" i="1" s="1"/>
  <c r="O70" i="1"/>
  <c r="P70" i="1" s="1"/>
  <c r="N70" i="1"/>
  <c r="M70" i="1" s="1"/>
  <c r="M58" i="1" s="1"/>
  <c r="J70" i="1"/>
  <c r="I70" i="1" s="1"/>
  <c r="P69" i="1"/>
  <c r="P57" i="1" s="1"/>
  <c r="N69" i="1"/>
  <c r="J69" i="1"/>
  <c r="P68" i="1"/>
  <c r="M68" i="1"/>
  <c r="J68" i="1"/>
  <c r="H68" i="1" s="1"/>
  <c r="L67" i="1"/>
  <c r="P66" i="1"/>
  <c r="N66" i="1"/>
  <c r="L66" i="1"/>
  <c r="K66" i="1"/>
  <c r="P65" i="1"/>
  <c r="N65" i="1"/>
  <c r="L65" i="1"/>
  <c r="K65" i="1"/>
  <c r="P64" i="1"/>
  <c r="N64" i="1"/>
  <c r="L64" i="1"/>
  <c r="K64" i="1"/>
  <c r="J64" i="1"/>
  <c r="J504" i="1" s="1"/>
  <c r="P63" i="1"/>
  <c r="P62" i="1"/>
  <c r="N62" i="1"/>
  <c r="L62" i="1"/>
  <c r="K62" i="1"/>
  <c r="J62" i="1"/>
  <c r="N61" i="1"/>
  <c r="L61" i="1"/>
  <c r="K61" i="1"/>
  <c r="J61" i="1"/>
  <c r="N60" i="1"/>
  <c r="L60" i="1"/>
  <c r="K60" i="1"/>
  <c r="J60" i="1"/>
  <c r="N59" i="1"/>
  <c r="M59" i="1"/>
  <c r="L59" i="1"/>
  <c r="K59" i="1"/>
  <c r="L58" i="1"/>
  <c r="K58" i="1"/>
  <c r="O57" i="1"/>
  <c r="L57" i="1"/>
  <c r="K57" i="1"/>
  <c r="O56" i="1"/>
  <c r="N56" i="1"/>
  <c r="L56" i="1"/>
  <c r="K56" i="1"/>
  <c r="P54" i="1"/>
  <c r="O54" i="1"/>
  <c r="N54" i="1"/>
  <c r="M54" i="1"/>
  <c r="L54" i="1"/>
  <c r="K54" i="1"/>
  <c r="J54" i="1"/>
  <c r="I54" i="1"/>
  <c r="P53" i="1"/>
  <c r="O53" i="1"/>
  <c r="N53" i="1"/>
  <c r="M53" i="1"/>
  <c r="L53" i="1"/>
  <c r="K53" i="1"/>
  <c r="J53" i="1"/>
  <c r="I53" i="1"/>
  <c r="H52" i="1"/>
  <c r="P51" i="1"/>
  <c r="O51" i="1"/>
  <c r="N51" i="1"/>
  <c r="M51" i="1"/>
  <c r="L51" i="1"/>
  <c r="K51" i="1"/>
  <c r="J51" i="1"/>
  <c r="I51" i="1"/>
  <c r="P50" i="1"/>
  <c r="O50" i="1"/>
  <c r="N50" i="1"/>
  <c r="M50" i="1"/>
  <c r="L50" i="1"/>
  <c r="K50" i="1"/>
  <c r="J50" i="1"/>
  <c r="I50" i="1"/>
  <c r="P49" i="1"/>
  <c r="O49" i="1"/>
  <c r="N49" i="1"/>
  <c r="M49" i="1"/>
  <c r="L49" i="1"/>
  <c r="K49" i="1"/>
  <c r="J49" i="1"/>
  <c r="I49" i="1"/>
  <c r="G49" i="1" s="1"/>
  <c r="O48" i="1"/>
  <c r="N48" i="1"/>
  <c r="M48" i="1"/>
  <c r="K48" i="1"/>
  <c r="J48" i="1"/>
  <c r="I48" i="1"/>
  <c r="H47" i="1"/>
  <c r="G47" i="1"/>
  <c r="H46" i="1"/>
  <c r="G46" i="1"/>
  <c r="H45" i="1"/>
  <c r="G45" i="1"/>
  <c r="H44" i="1"/>
  <c r="G44" i="1"/>
  <c r="U29" i="1"/>
  <c r="G298" i="1" l="1"/>
  <c r="G320" i="1"/>
  <c r="G319" i="1" s="1"/>
  <c r="G360" i="1"/>
  <c r="G380" i="1"/>
  <c r="G392" i="1"/>
  <c r="H49" i="1"/>
  <c r="H51" i="1"/>
  <c r="G53" i="1"/>
  <c r="G54" i="1"/>
  <c r="H135" i="1"/>
  <c r="G266" i="1"/>
  <c r="G305" i="1"/>
  <c r="I312" i="1"/>
  <c r="G313" i="1"/>
  <c r="G312" i="1" s="1"/>
  <c r="G384" i="1"/>
  <c r="G396" i="1"/>
  <c r="G229" i="1"/>
  <c r="G459" i="1"/>
  <c r="G452" i="1"/>
  <c r="G398" i="1"/>
  <c r="H80" i="1"/>
  <c r="H79" i="1" s="1"/>
  <c r="H72" i="1"/>
  <c r="O305" i="1"/>
  <c r="G96" i="1"/>
  <c r="G223" i="1"/>
  <c r="G222" i="1" s="1"/>
  <c r="G50" i="1"/>
  <c r="G102" i="1"/>
  <c r="H50" i="1"/>
  <c r="G356" i="1"/>
  <c r="G186" i="1"/>
  <c r="G135" i="1"/>
  <c r="J59" i="1"/>
  <c r="M56" i="1"/>
  <c r="M79" i="1"/>
  <c r="H197" i="1"/>
  <c r="J163" i="1"/>
  <c r="J34" i="1" s="1"/>
  <c r="J174" i="1"/>
  <c r="I174" i="1" s="1"/>
  <c r="G174" i="1" s="1"/>
  <c r="G185" i="1"/>
  <c r="J40" i="1"/>
  <c r="H40" i="1" s="1"/>
  <c r="GB169" i="1"/>
  <c r="G109" i="1"/>
  <c r="G115" i="1"/>
  <c r="P30" i="1"/>
  <c r="P255" i="1"/>
  <c r="P26" i="1" s="1"/>
  <c r="K20" i="1"/>
  <c r="O59" i="1"/>
  <c r="N24" i="1"/>
  <c r="N26" i="1"/>
  <c r="M255" i="1"/>
  <c r="H385" i="1"/>
  <c r="G95" i="1"/>
  <c r="W385" i="1"/>
  <c r="K21" i="1"/>
  <c r="L498" i="1"/>
  <c r="J250" i="1"/>
  <c r="P48" i="1"/>
  <c r="P43" i="1" s="1"/>
  <c r="L23" i="1"/>
  <c r="L24" i="1"/>
  <c r="P28" i="1"/>
  <c r="L29" i="1"/>
  <c r="L506" i="1"/>
  <c r="O29" i="1"/>
  <c r="P179" i="1"/>
  <c r="M447" i="1"/>
  <c r="O447" i="1"/>
  <c r="O250" i="1"/>
  <c r="G48" i="1"/>
  <c r="H48" i="1"/>
  <c r="L20" i="1"/>
  <c r="O58" i="1"/>
  <c r="K25" i="1"/>
  <c r="N25" i="1"/>
  <c r="K26" i="1"/>
  <c r="K28" i="1"/>
  <c r="N447" i="1"/>
  <c r="P452" i="1"/>
  <c r="P447" i="1" s="1"/>
  <c r="G51" i="1"/>
  <c r="N250" i="1"/>
  <c r="H54" i="1"/>
  <c r="P164" i="1"/>
  <c r="P35" i="1" s="1"/>
  <c r="N58" i="1"/>
  <c r="P59" i="1"/>
  <c r="H59" i="1" s="1"/>
  <c r="M60" i="1"/>
  <c r="L30" i="1"/>
  <c r="P167" i="1"/>
  <c r="P38" i="1" s="1"/>
  <c r="H38" i="1" s="1"/>
  <c r="J170" i="1"/>
  <c r="H170" i="1" s="1"/>
  <c r="H53" i="1"/>
  <c r="L43" i="1"/>
  <c r="I64" i="1"/>
  <c r="W64" i="1" s="1"/>
  <c r="I118" i="1"/>
  <c r="W118" i="1" s="1"/>
  <c r="J120" i="1"/>
  <c r="J162" i="1"/>
  <c r="J33" i="1" s="1"/>
  <c r="N163" i="1"/>
  <c r="N34" i="1" s="1"/>
  <c r="L63" i="1"/>
  <c r="L27" i="1" s="1"/>
  <c r="J66" i="1"/>
  <c r="H66" i="1" s="1"/>
  <c r="J43" i="1"/>
  <c r="N43" i="1"/>
  <c r="J63" i="1"/>
  <c r="H63" i="1" s="1"/>
  <c r="O120" i="1"/>
  <c r="O122" i="1"/>
  <c r="I124" i="1"/>
  <c r="W124" i="1" s="1"/>
  <c r="J184" i="1"/>
  <c r="P184" i="1"/>
  <c r="K43" i="1"/>
  <c r="M43" i="1"/>
  <c r="O43" i="1"/>
  <c r="G70" i="1"/>
  <c r="I43" i="1"/>
  <c r="I184" i="1"/>
  <c r="H123" i="1"/>
  <c r="G348" i="1"/>
  <c r="H196" i="1"/>
  <c r="H64" i="1"/>
  <c r="H86" i="1"/>
  <c r="K30" i="1"/>
  <c r="N30" i="1"/>
  <c r="G123" i="1"/>
  <c r="G187" i="1"/>
  <c r="N20" i="1"/>
  <c r="L22" i="1"/>
  <c r="K497" i="1"/>
  <c r="P61" i="1"/>
  <c r="H61" i="1" s="1"/>
  <c r="J119" i="1"/>
  <c r="O119" i="1"/>
  <c r="N120" i="1"/>
  <c r="H124" i="1"/>
  <c r="N125" i="1"/>
  <c r="N27" i="1" s="1"/>
  <c r="J128" i="1"/>
  <c r="H128" i="1" s="1"/>
  <c r="N162" i="1"/>
  <c r="N33" i="1" s="1"/>
  <c r="J164" i="1"/>
  <c r="J35" i="1" s="1"/>
  <c r="J165" i="1"/>
  <c r="J36" i="1" s="1"/>
  <c r="H169" i="1"/>
  <c r="N172" i="1"/>
  <c r="W215" i="1"/>
  <c r="I222" i="1"/>
  <c r="W222" i="1" s="1"/>
  <c r="J249" i="1"/>
  <c r="P249" i="1"/>
  <c r="H254" i="1"/>
  <c r="J28" i="1"/>
  <c r="J259" i="1"/>
  <c r="H259" i="1" s="1"/>
  <c r="J333" i="1"/>
  <c r="H264" i="1"/>
  <c r="H334" i="1"/>
  <c r="H333" i="1" s="1"/>
  <c r="W334" i="1"/>
  <c r="G334" i="1"/>
  <c r="G333" i="1" s="1"/>
  <c r="I333" i="1"/>
  <c r="H267" i="1"/>
  <c r="P284" i="1"/>
  <c r="W291" i="1"/>
  <c r="L31" i="1"/>
  <c r="G447" i="1"/>
  <c r="I388" i="1"/>
  <c r="J447" i="1"/>
  <c r="W453" i="1"/>
  <c r="W454" i="1"/>
  <c r="W455" i="1"/>
  <c r="W456" i="1"/>
  <c r="W457" i="1"/>
  <c r="W458" i="1"/>
  <c r="H188" i="1"/>
  <c r="H184" i="1" s="1"/>
  <c r="J388" i="1"/>
  <c r="H148" i="1"/>
  <c r="H105" i="1"/>
  <c r="L160" i="1"/>
  <c r="K160" i="1"/>
  <c r="H168" i="1"/>
  <c r="H176" i="1"/>
  <c r="J263" i="1"/>
  <c r="J251" i="1" s="1"/>
  <c r="K31" i="1"/>
  <c r="K447" i="1"/>
  <c r="J93" i="1"/>
  <c r="K117" i="1"/>
  <c r="O129" i="1"/>
  <c r="H137" i="1"/>
  <c r="H238" i="1"/>
  <c r="G137" i="1"/>
  <c r="H270" i="1"/>
  <c r="H60" i="1"/>
  <c r="G130" i="1"/>
  <c r="W141" i="1"/>
  <c r="H275" i="1"/>
  <c r="W281" i="1"/>
  <c r="W319" i="1"/>
  <c r="H39" i="1"/>
  <c r="O67" i="1"/>
  <c r="K22" i="1"/>
  <c r="W180" i="1"/>
  <c r="W208" i="1"/>
  <c r="N23" i="1"/>
  <c r="H383" i="1"/>
  <c r="I447" i="1"/>
  <c r="W452" i="1"/>
  <c r="W459" i="1"/>
  <c r="H464" i="1"/>
  <c r="H459" i="1" s="1"/>
  <c r="J67" i="1"/>
  <c r="H75" i="1"/>
  <c r="G86" i="1"/>
  <c r="H126" i="1"/>
  <c r="H132" i="1"/>
  <c r="H138" i="1"/>
  <c r="G148" i="1"/>
  <c r="H340" i="1"/>
  <c r="K496" i="1"/>
  <c r="J501" i="1"/>
  <c r="J25" i="1"/>
  <c r="L501" i="1"/>
  <c r="L25" i="1"/>
  <c r="L504" i="1"/>
  <c r="L28" i="1"/>
  <c r="O504" i="1"/>
  <c r="O28" i="1"/>
  <c r="I68" i="1"/>
  <c r="J56" i="1"/>
  <c r="M69" i="1"/>
  <c r="M57" i="1" s="1"/>
  <c r="N67" i="1"/>
  <c r="N57" i="1"/>
  <c r="K67" i="1"/>
  <c r="K63" i="1"/>
  <c r="M131" i="1"/>
  <c r="M119" i="1" s="1"/>
  <c r="N129" i="1"/>
  <c r="P178" i="1"/>
  <c r="G178" i="1"/>
  <c r="O166" i="1"/>
  <c r="O37" i="1" s="1"/>
  <c r="M180" i="1"/>
  <c r="M168" i="1" s="1"/>
  <c r="M39" i="1" s="1"/>
  <c r="M167" i="1"/>
  <c r="M38" i="1" s="1"/>
  <c r="H183" i="1"/>
  <c r="J171" i="1"/>
  <c r="W197" i="1"/>
  <c r="I196" i="1"/>
  <c r="W196" i="1" s="1"/>
  <c r="W198" i="1"/>
  <c r="G199" i="1"/>
  <c r="G196" i="1" s="1"/>
  <c r="O196" i="1"/>
  <c r="H216" i="1"/>
  <c r="H215" i="1" s="1"/>
  <c r="P215" i="1"/>
  <c r="O229" i="1"/>
  <c r="O161" i="1"/>
  <c r="G164" i="1"/>
  <c r="O35" i="1"/>
  <c r="G35" i="1" s="1"/>
  <c r="H237" i="1"/>
  <c r="P236" i="1"/>
  <c r="W239" i="1"/>
  <c r="I163" i="1"/>
  <c r="I243" i="1"/>
  <c r="I167" i="1" s="1"/>
  <c r="W242" i="1"/>
  <c r="I166" i="1"/>
  <c r="G261" i="1"/>
  <c r="M249" i="1"/>
  <c r="M263" i="1"/>
  <c r="M251" i="1" s="1"/>
  <c r="N260" i="1"/>
  <c r="N251" i="1"/>
  <c r="H269" i="1"/>
  <c r="N257" i="1"/>
  <c r="N28" i="1" s="1"/>
  <c r="G273" i="1"/>
  <c r="O249" i="1"/>
  <c r="O20" i="1" s="1"/>
  <c r="J58" i="1"/>
  <c r="O66" i="1"/>
  <c r="P56" i="1"/>
  <c r="J129" i="1"/>
  <c r="P161" i="1"/>
  <c r="L248" i="1"/>
  <c r="J253" i="1"/>
  <c r="J24" i="1" s="1"/>
  <c r="P256" i="1"/>
  <c r="H256" i="1" s="1"/>
  <c r="G265" i="1"/>
  <c r="K499" i="1"/>
  <c r="K23" i="1"/>
  <c r="K500" i="1"/>
  <c r="K24" i="1"/>
  <c r="H62" i="1"/>
  <c r="L502" i="1"/>
  <c r="L26" i="1"/>
  <c r="O26" i="1"/>
  <c r="K505" i="1"/>
  <c r="K29" i="1"/>
  <c r="N505" i="1"/>
  <c r="N29" i="1"/>
  <c r="P505" i="1"/>
  <c r="P29" i="1"/>
  <c r="I69" i="1"/>
  <c r="I57" i="1" s="1"/>
  <c r="H69" i="1"/>
  <c r="J57" i="1"/>
  <c r="I71" i="1"/>
  <c r="G71" i="1" s="1"/>
  <c r="I58" i="1"/>
  <c r="H77" i="1"/>
  <c r="J65" i="1"/>
  <c r="H65" i="1" s="1"/>
  <c r="H94" i="1"/>
  <c r="H93" i="1" s="1"/>
  <c r="P93" i="1"/>
  <c r="W101" i="1"/>
  <c r="I63" i="1"/>
  <c r="L117" i="1"/>
  <c r="L21" i="1"/>
  <c r="W131" i="1"/>
  <c r="I119" i="1"/>
  <c r="G136" i="1"/>
  <c r="M124" i="1"/>
  <c r="S138" i="1"/>
  <c r="I125" i="1"/>
  <c r="M126" i="1"/>
  <c r="M125" i="1"/>
  <c r="H139" i="1"/>
  <c r="J127" i="1"/>
  <c r="H127" i="1" s="1"/>
  <c r="H142" i="1"/>
  <c r="H141" i="1" s="1"/>
  <c r="P141" i="1"/>
  <c r="P118" i="1"/>
  <c r="H118" i="1" s="1"/>
  <c r="W173" i="1"/>
  <c r="I161" i="1"/>
  <c r="P174" i="1"/>
  <c r="P162" i="1" s="1"/>
  <c r="O162" i="1"/>
  <c r="O33" i="1" s="1"/>
  <c r="P175" i="1"/>
  <c r="O163" i="1"/>
  <c r="O34" i="1" s="1"/>
  <c r="P177" i="1"/>
  <c r="P165" i="1" s="1"/>
  <c r="O165" i="1"/>
  <c r="O180" i="1"/>
  <c r="O168" i="1" s="1"/>
  <c r="O39" i="1" s="1"/>
  <c r="H180" i="1"/>
  <c r="H209" i="1"/>
  <c r="H208" i="1" s="1"/>
  <c r="P208" i="1"/>
  <c r="I262" i="1"/>
  <c r="W262" i="1" s="1"/>
  <c r="H262" i="1"/>
  <c r="I274" i="1"/>
  <c r="G274" i="1" s="1"/>
  <c r="H274" i="1"/>
  <c r="J272" i="1"/>
  <c r="L496" i="1"/>
  <c r="N496" i="1"/>
  <c r="K498" i="1"/>
  <c r="L499" i="1"/>
  <c r="N499" i="1"/>
  <c r="N500" i="1"/>
  <c r="K501" i="1"/>
  <c r="N501" i="1"/>
  <c r="K502" i="1"/>
  <c r="N502" i="1"/>
  <c r="K504" i="1"/>
  <c r="P504" i="1"/>
  <c r="L505" i="1"/>
  <c r="O505" i="1"/>
  <c r="K506" i="1"/>
  <c r="N506" i="1"/>
  <c r="P506" i="1"/>
  <c r="W79" i="1"/>
  <c r="W86" i="1"/>
  <c r="W123" i="1"/>
  <c r="W148" i="1"/>
  <c r="U169" i="1"/>
  <c r="G173" i="1"/>
  <c r="W229" i="1"/>
  <c r="I249" i="1"/>
  <c r="K248" i="1"/>
  <c r="J252" i="1"/>
  <c r="J255" i="1"/>
  <c r="I256" i="1"/>
  <c r="W256" i="1" s="1"/>
  <c r="W284" i="1"/>
  <c r="W298" i="1"/>
  <c r="W305" i="1"/>
  <c r="W312" i="1"/>
  <c r="W326" i="1"/>
  <c r="J340" i="1"/>
  <c r="G342" i="1"/>
  <c r="J352" i="1"/>
  <c r="H356" i="1"/>
  <c r="W362" i="1"/>
  <c r="H368" i="1"/>
  <c r="H371" i="1"/>
  <c r="W373" i="1"/>
  <c r="J386" i="1"/>
  <c r="W386" i="1" s="1"/>
  <c r="H395" i="1"/>
  <c r="H388" i="1" s="1"/>
  <c r="L452" i="1"/>
  <c r="L500" i="1" s="1"/>
  <c r="L459" i="1"/>
  <c r="M61" i="1"/>
  <c r="M74" i="1"/>
  <c r="G73" i="1"/>
  <c r="O99" i="1"/>
  <c r="O61" i="1" s="1"/>
  <c r="O60" i="1"/>
  <c r="M120" i="1"/>
  <c r="H133" i="1"/>
  <c r="P121" i="1"/>
  <c r="H134" i="1"/>
  <c r="P122" i="1"/>
  <c r="H70" i="1"/>
  <c r="P67" i="1"/>
  <c r="P58" i="1"/>
  <c r="I98" i="1"/>
  <c r="G97" i="1"/>
  <c r="W97" i="1"/>
  <c r="H131" i="1"/>
  <c r="P119" i="1"/>
  <c r="P129" i="1"/>
  <c r="W132" i="1"/>
  <c r="G132" i="1"/>
  <c r="I120" i="1"/>
  <c r="I133" i="1"/>
  <c r="W182" i="1"/>
  <c r="I183" i="1"/>
  <c r="W267" i="1"/>
  <c r="G267" i="1"/>
  <c r="O260" i="1"/>
  <c r="O256" i="1"/>
  <c r="O27" i="1" s="1"/>
  <c r="W270" i="1"/>
  <c r="M344" i="1"/>
  <c r="G344" i="1" s="1"/>
  <c r="G343" i="1"/>
  <c r="I345" i="1"/>
  <c r="W344" i="1"/>
  <c r="W363" i="1"/>
  <c r="G363" i="1"/>
  <c r="I352" i="1"/>
  <c r="I375" i="1"/>
  <c r="I364" i="1" s="1"/>
  <c r="J374" i="1"/>
  <c r="W374" i="1" s="1"/>
  <c r="G374" i="1"/>
  <c r="M382" i="1"/>
  <c r="G382" i="1" s="1"/>
  <c r="G381" i="1"/>
  <c r="W70" i="1"/>
  <c r="X75" i="1"/>
  <c r="R76" i="1"/>
  <c r="I77" i="1"/>
  <c r="W96" i="1"/>
  <c r="X101" i="1"/>
  <c r="R102" i="1"/>
  <c r="I110" i="1"/>
  <c r="I112" i="1"/>
  <c r="I116" i="1"/>
  <c r="X137" i="1"/>
  <c r="W175" i="1"/>
  <c r="G175" i="1"/>
  <c r="W238" i="1"/>
  <c r="G238" i="1"/>
  <c r="M250" i="1"/>
  <c r="P251" i="1"/>
  <c r="P260" i="1"/>
  <c r="P253" i="1"/>
  <c r="H265" i="1"/>
  <c r="M256" i="1"/>
  <c r="G268" i="1"/>
  <c r="O276" i="1"/>
  <c r="O251" i="1"/>
  <c r="W275" i="1"/>
  <c r="G275" i="1"/>
  <c r="W282" i="1"/>
  <c r="I283" i="1"/>
  <c r="G282" i="1"/>
  <c r="M358" i="1"/>
  <c r="G358" i="1" s="1"/>
  <c r="G357" i="1"/>
  <c r="G369" i="1"/>
  <c r="M370" i="1"/>
  <c r="G370" i="1" s="1"/>
  <c r="M394" i="1"/>
  <c r="G394" i="1" s="1"/>
  <c r="G393" i="1"/>
  <c r="W137" i="1"/>
  <c r="X180" i="1"/>
  <c r="R181" i="1"/>
  <c r="W181" i="1"/>
  <c r="W266" i="1"/>
  <c r="W268" i="1"/>
  <c r="S269" i="1"/>
  <c r="W269" i="1"/>
  <c r="H277" i="1"/>
  <c r="W343" i="1"/>
  <c r="I349" i="1"/>
  <c r="I257" i="1" s="1"/>
  <c r="H359" i="1"/>
  <c r="W359" i="1"/>
  <c r="G368" i="1"/>
  <c r="H380" i="1"/>
  <c r="I387" i="1"/>
  <c r="W392" i="1"/>
  <c r="S181" i="1"/>
  <c r="J236" i="1"/>
  <c r="H240" i="1"/>
  <c r="R269" i="1"/>
  <c r="M352" i="1" l="1"/>
  <c r="G43" i="1"/>
  <c r="H255" i="1"/>
  <c r="G58" i="1"/>
  <c r="M20" i="1"/>
  <c r="W174" i="1"/>
  <c r="I172" i="1"/>
  <c r="I162" i="1"/>
  <c r="W162" i="1" s="1"/>
  <c r="J499" i="1"/>
  <c r="L503" i="1"/>
  <c r="L495" i="1" s="1"/>
  <c r="J172" i="1"/>
  <c r="W172" i="1" s="1"/>
  <c r="G184" i="1"/>
  <c r="H250" i="1"/>
  <c r="O22" i="1"/>
  <c r="J41" i="1"/>
  <c r="H41" i="1" s="1"/>
  <c r="W71" i="1"/>
  <c r="J500" i="1"/>
  <c r="H167" i="1"/>
  <c r="W388" i="1"/>
  <c r="W184" i="1"/>
  <c r="H120" i="1"/>
  <c r="H43" i="1"/>
  <c r="O21" i="1"/>
  <c r="O179" i="1"/>
  <c r="O172" i="1" s="1"/>
  <c r="H179" i="1"/>
  <c r="H352" i="1"/>
  <c r="H253" i="1"/>
  <c r="H263" i="1"/>
  <c r="H260" i="1" s="1"/>
  <c r="P499" i="1"/>
  <c r="W69" i="1"/>
  <c r="N504" i="1"/>
  <c r="L55" i="1"/>
  <c r="N31" i="1"/>
  <c r="H236" i="1"/>
  <c r="H67" i="1"/>
  <c r="G138" i="1"/>
  <c r="G118" i="1"/>
  <c r="P25" i="1"/>
  <c r="H25" i="1" s="1"/>
  <c r="H164" i="1"/>
  <c r="S123" i="1"/>
  <c r="H177" i="1"/>
  <c r="M21" i="1"/>
  <c r="W274" i="1"/>
  <c r="G243" i="1"/>
  <c r="P497" i="1"/>
  <c r="W164" i="1"/>
  <c r="P502" i="1"/>
  <c r="H257" i="1"/>
  <c r="J503" i="1"/>
  <c r="H35" i="1"/>
  <c r="H272" i="1"/>
  <c r="I72" i="1"/>
  <c r="G72" i="1" s="1"/>
  <c r="W138" i="1"/>
  <c r="I140" i="1"/>
  <c r="G249" i="1"/>
  <c r="G124" i="1"/>
  <c r="S124" i="1" s="1"/>
  <c r="G69" i="1"/>
  <c r="N503" i="1"/>
  <c r="H129" i="1"/>
  <c r="P172" i="1"/>
  <c r="O117" i="1"/>
  <c r="N117" i="1"/>
  <c r="W249" i="1"/>
  <c r="W63" i="1"/>
  <c r="I244" i="1"/>
  <c r="W244" i="1" s="1"/>
  <c r="W243" i="1"/>
  <c r="I59" i="1"/>
  <c r="G59" i="1" s="1"/>
  <c r="R138" i="1"/>
  <c r="I126" i="1"/>
  <c r="G126" i="1" s="1"/>
  <c r="S126" i="1" s="1"/>
  <c r="M498" i="1"/>
  <c r="W165" i="1"/>
  <c r="N22" i="1"/>
  <c r="J160" i="1"/>
  <c r="J27" i="1"/>
  <c r="W333" i="1"/>
  <c r="I250" i="1"/>
  <c r="W250" i="1" s="1"/>
  <c r="N160" i="1"/>
  <c r="H125" i="1"/>
  <c r="G262" i="1"/>
  <c r="G180" i="1"/>
  <c r="H174" i="1"/>
  <c r="H249" i="1"/>
  <c r="J117" i="1"/>
  <c r="J30" i="1"/>
  <c r="H30" i="1" s="1"/>
  <c r="M388" i="1"/>
  <c r="W447" i="1"/>
  <c r="O503" i="1"/>
  <c r="P503" i="1"/>
  <c r="I263" i="1"/>
  <c r="G263" i="1" s="1"/>
  <c r="J260" i="1"/>
  <c r="P500" i="1"/>
  <c r="H500" i="1" s="1"/>
  <c r="L19" i="1"/>
  <c r="N248" i="1"/>
  <c r="O496" i="1"/>
  <c r="H386" i="1"/>
  <c r="H376" i="1" s="1"/>
  <c r="J376" i="1"/>
  <c r="G165" i="1"/>
  <c r="O36" i="1"/>
  <c r="G36" i="1" s="1"/>
  <c r="W161" i="1"/>
  <c r="G161" i="1"/>
  <c r="I32" i="1"/>
  <c r="P32" i="1"/>
  <c r="O506" i="1"/>
  <c r="O30" i="1"/>
  <c r="W166" i="1"/>
  <c r="G166" i="1"/>
  <c r="I37" i="1"/>
  <c r="G37" i="1" s="1"/>
  <c r="W167" i="1"/>
  <c r="I38" i="1"/>
  <c r="H178" i="1"/>
  <c r="P166" i="1"/>
  <c r="J496" i="1"/>
  <c r="H56" i="1"/>
  <c r="J20" i="1"/>
  <c r="J55" i="1"/>
  <c r="S28" i="1"/>
  <c r="U28" i="1" s="1"/>
  <c r="H28" i="1"/>
  <c r="G256" i="1"/>
  <c r="S256" i="1" s="1"/>
  <c r="W352" i="1"/>
  <c r="O93" i="1"/>
  <c r="J26" i="1"/>
  <c r="H26" i="1" s="1"/>
  <c r="J502" i="1"/>
  <c r="N498" i="1"/>
  <c r="O497" i="1"/>
  <c r="P27" i="1"/>
  <c r="M496" i="1"/>
  <c r="G131" i="1"/>
  <c r="H452" i="1"/>
  <c r="H447" i="1" s="1"/>
  <c r="L447" i="1"/>
  <c r="H252" i="1"/>
  <c r="J23" i="1"/>
  <c r="H165" i="1"/>
  <c r="P36" i="1"/>
  <c r="H36" i="1" s="1"/>
  <c r="H175" i="1"/>
  <c r="P163" i="1"/>
  <c r="P498" i="1" s="1"/>
  <c r="H162" i="1"/>
  <c r="P33" i="1"/>
  <c r="H33" i="1" s="1"/>
  <c r="W125" i="1"/>
  <c r="G125" i="1"/>
  <c r="W119" i="1"/>
  <c r="G119" i="1"/>
  <c r="J497" i="1"/>
  <c r="J21" i="1"/>
  <c r="H57" i="1"/>
  <c r="P496" i="1"/>
  <c r="P20" i="1"/>
  <c r="J498" i="1"/>
  <c r="J22" i="1"/>
  <c r="W163" i="1"/>
  <c r="G163" i="1"/>
  <c r="I34" i="1"/>
  <c r="G34" i="1" s="1"/>
  <c r="O32" i="1"/>
  <c r="J42" i="1"/>
  <c r="H171" i="1"/>
  <c r="K503" i="1"/>
  <c r="K495" i="1" s="1"/>
  <c r="K27" i="1"/>
  <c r="K19" i="1" s="1"/>
  <c r="N497" i="1"/>
  <c r="N55" i="1"/>
  <c r="N21" i="1"/>
  <c r="W68" i="1"/>
  <c r="G68" i="1"/>
  <c r="I56" i="1"/>
  <c r="I27" i="1"/>
  <c r="J506" i="1"/>
  <c r="H506" i="1" s="1"/>
  <c r="K55" i="1"/>
  <c r="H161" i="1"/>
  <c r="W349" i="1"/>
  <c r="I350" i="1"/>
  <c r="G349" i="1"/>
  <c r="W283" i="1"/>
  <c r="G283" i="1"/>
  <c r="W112" i="1"/>
  <c r="G112" i="1"/>
  <c r="I62" i="1"/>
  <c r="G375" i="1"/>
  <c r="G364" i="1" s="1"/>
  <c r="W375" i="1"/>
  <c r="W271" i="1"/>
  <c r="M182" i="1"/>
  <c r="G181" i="1"/>
  <c r="M169" i="1"/>
  <c r="W120" i="1"/>
  <c r="G120" i="1"/>
  <c r="W98" i="1"/>
  <c r="G98" i="1"/>
  <c r="I99" i="1"/>
  <c r="H122" i="1"/>
  <c r="P24" i="1"/>
  <c r="H24" i="1" s="1"/>
  <c r="H121" i="1"/>
  <c r="P23" i="1"/>
  <c r="M22" i="1"/>
  <c r="O55" i="1"/>
  <c r="M497" i="1"/>
  <c r="I272" i="1"/>
  <c r="W272" i="1" s="1"/>
  <c r="W387" i="1"/>
  <c r="I376" i="1"/>
  <c r="G387" i="1"/>
  <c r="G376" i="1" s="1"/>
  <c r="O252" i="1"/>
  <c r="O277" i="1"/>
  <c r="G276" i="1"/>
  <c r="M270" i="1"/>
  <c r="M257" i="1"/>
  <c r="G269" i="1"/>
  <c r="H251" i="1"/>
  <c r="P248" i="1"/>
  <c r="W116" i="1"/>
  <c r="G116" i="1"/>
  <c r="W110" i="1"/>
  <c r="G110" i="1"/>
  <c r="I105" i="1"/>
  <c r="W105" i="1" s="1"/>
  <c r="I78" i="1"/>
  <c r="W77" i="1"/>
  <c r="I65" i="1"/>
  <c r="H374" i="1"/>
  <c r="H364" i="1" s="1"/>
  <c r="J364" i="1"/>
  <c r="W364" i="1" s="1"/>
  <c r="J258" i="1"/>
  <c r="W345" i="1"/>
  <c r="I346" i="1"/>
  <c r="I253" i="1"/>
  <c r="M252" i="1"/>
  <c r="M345" i="1"/>
  <c r="W183" i="1"/>
  <c r="I134" i="1"/>
  <c r="W133" i="1"/>
  <c r="G133" i="1"/>
  <c r="I121" i="1"/>
  <c r="H119" i="1"/>
  <c r="P117" i="1"/>
  <c r="P21" i="1"/>
  <c r="H58" i="1"/>
  <c r="P55" i="1"/>
  <c r="P22" i="1"/>
  <c r="M140" i="1"/>
  <c r="M128" i="1" s="1"/>
  <c r="M127" i="1"/>
  <c r="M75" i="1"/>
  <c r="G74" i="1"/>
  <c r="M62" i="1"/>
  <c r="G57" i="1"/>
  <c r="G388" i="1"/>
  <c r="M364" i="1"/>
  <c r="G352" i="1"/>
  <c r="O498" i="1"/>
  <c r="M376" i="1"/>
  <c r="N19" i="1" l="1"/>
  <c r="G162" i="1"/>
  <c r="I33" i="1"/>
  <c r="G33" i="1" s="1"/>
  <c r="H499" i="1"/>
  <c r="W139" i="1"/>
  <c r="I21" i="1"/>
  <c r="G21" i="1" s="1"/>
  <c r="I245" i="1"/>
  <c r="W245" i="1" s="1"/>
  <c r="H504" i="1"/>
  <c r="S125" i="1"/>
  <c r="O167" i="1"/>
  <c r="G179" i="1"/>
  <c r="I60" i="1"/>
  <c r="G60" i="1" s="1"/>
  <c r="S60" i="1" s="1"/>
  <c r="H503" i="1"/>
  <c r="G139" i="1"/>
  <c r="W72" i="1"/>
  <c r="I127" i="1"/>
  <c r="G127" i="1" s="1"/>
  <c r="S127" i="1" s="1"/>
  <c r="H55" i="1"/>
  <c r="W376" i="1"/>
  <c r="W126" i="1"/>
  <c r="G244" i="1"/>
  <c r="H22" i="1"/>
  <c r="G250" i="1"/>
  <c r="I497" i="1"/>
  <c r="W497" i="1" s="1"/>
  <c r="H27" i="1"/>
  <c r="G105" i="1"/>
  <c r="I168" i="1"/>
  <c r="G168" i="1" s="1"/>
  <c r="I28" i="1"/>
  <c r="H172" i="1"/>
  <c r="I129" i="1"/>
  <c r="W129" i="1" s="1"/>
  <c r="H498" i="1"/>
  <c r="H23" i="1"/>
  <c r="P160" i="1"/>
  <c r="N495" i="1"/>
  <c r="W263" i="1"/>
  <c r="I264" i="1"/>
  <c r="I251" i="1"/>
  <c r="S165" i="1"/>
  <c r="M129" i="1"/>
  <c r="M117" i="1"/>
  <c r="H497" i="1"/>
  <c r="H496" i="1"/>
  <c r="H42" i="1"/>
  <c r="J31" i="1"/>
  <c r="H163" i="1"/>
  <c r="P34" i="1"/>
  <c r="H34" i="1" s="1"/>
  <c r="H166" i="1"/>
  <c r="S166" i="1" s="1"/>
  <c r="P37" i="1"/>
  <c r="H37" i="1" s="1"/>
  <c r="P501" i="1"/>
  <c r="H501" i="1" s="1"/>
  <c r="H32" i="1"/>
  <c r="H117" i="1"/>
  <c r="G32" i="1"/>
  <c r="I496" i="1"/>
  <c r="G56" i="1"/>
  <c r="I20" i="1"/>
  <c r="G20" i="1" s="1"/>
  <c r="H502" i="1"/>
  <c r="H20" i="1"/>
  <c r="W121" i="1"/>
  <c r="G121" i="1"/>
  <c r="M502" i="1"/>
  <c r="M26" i="1"/>
  <c r="M63" i="1"/>
  <c r="G75" i="1"/>
  <c r="W140" i="1"/>
  <c r="G140" i="1"/>
  <c r="I128" i="1"/>
  <c r="H21" i="1"/>
  <c r="P19" i="1"/>
  <c r="W134" i="1"/>
  <c r="G134" i="1"/>
  <c r="I122" i="1"/>
  <c r="M346" i="1"/>
  <c r="M254" i="1" s="1"/>
  <c r="M253" i="1"/>
  <c r="W253" i="1"/>
  <c r="H258" i="1"/>
  <c r="H248" i="1" s="1"/>
  <c r="J248" i="1"/>
  <c r="J29" i="1"/>
  <c r="J505" i="1"/>
  <c r="W78" i="1"/>
  <c r="I66" i="1"/>
  <c r="M271" i="1"/>
  <c r="M258" i="1"/>
  <c r="G270" i="1"/>
  <c r="G277" i="1"/>
  <c r="O278" i="1"/>
  <c r="O272" i="1" s="1"/>
  <c r="O253" i="1"/>
  <c r="M40" i="1"/>
  <c r="M183" i="1"/>
  <c r="M172" i="1" s="1"/>
  <c r="M170" i="1"/>
  <c r="M41" i="1" s="1"/>
  <c r="G182" i="1"/>
  <c r="W62" i="1"/>
  <c r="G62" i="1"/>
  <c r="S62" i="1" s="1"/>
  <c r="W350" i="1"/>
  <c r="I351" i="1"/>
  <c r="G350" i="1"/>
  <c r="I258" i="1"/>
  <c r="G345" i="1"/>
  <c r="M23" i="1"/>
  <c r="M499" i="1"/>
  <c r="I347" i="1"/>
  <c r="I254" i="1"/>
  <c r="W346" i="1"/>
  <c r="W65" i="1"/>
  <c r="O23" i="1"/>
  <c r="O499" i="1"/>
  <c r="I61" i="1"/>
  <c r="W99" i="1"/>
  <c r="G99" i="1"/>
  <c r="G93" i="1" s="1"/>
  <c r="I93" i="1"/>
  <c r="W93" i="1" s="1"/>
  <c r="G257" i="1"/>
  <c r="S257" i="1" s="1"/>
  <c r="W257" i="1"/>
  <c r="I67" i="1"/>
  <c r="W67" i="1" s="1"/>
  <c r="G253" i="1" l="1"/>
  <c r="M340" i="1"/>
  <c r="G245" i="1"/>
  <c r="R245" i="1"/>
  <c r="I246" i="1"/>
  <c r="I247" i="1" s="1"/>
  <c r="I169" i="1"/>
  <c r="G169" i="1" s="1"/>
  <c r="S169" i="1" s="1"/>
  <c r="X245" i="1"/>
  <c r="I24" i="1"/>
  <c r="O38" i="1"/>
  <c r="O502" i="1"/>
  <c r="O160" i="1"/>
  <c r="G167" i="1"/>
  <c r="S167" i="1" s="1"/>
  <c r="P31" i="1"/>
  <c r="W127" i="1"/>
  <c r="I39" i="1"/>
  <c r="G39" i="1" s="1"/>
  <c r="G497" i="1"/>
  <c r="W168" i="1"/>
  <c r="I503" i="1"/>
  <c r="W264" i="1"/>
  <c r="I252" i="1"/>
  <c r="G264" i="1"/>
  <c r="I260" i="1"/>
  <c r="W260" i="1" s="1"/>
  <c r="P495" i="1"/>
  <c r="W251" i="1"/>
  <c r="I498" i="1"/>
  <c r="G251" i="1"/>
  <c r="I22" i="1"/>
  <c r="G22" i="1" s="1"/>
  <c r="H160" i="1"/>
  <c r="I117" i="1"/>
  <c r="W117" i="1" s="1"/>
  <c r="G129" i="1"/>
  <c r="G346" i="1"/>
  <c r="I340" i="1"/>
  <c r="W340" i="1" s="1"/>
  <c r="H31" i="1"/>
  <c r="G496" i="1"/>
  <c r="W496" i="1"/>
  <c r="W503" i="1"/>
  <c r="I501" i="1"/>
  <c r="G61" i="1"/>
  <c r="I25" i="1"/>
  <c r="G258" i="1"/>
  <c r="S258" i="1" s="1"/>
  <c r="W258" i="1"/>
  <c r="S168" i="1"/>
  <c r="W254" i="1"/>
  <c r="O24" i="1"/>
  <c r="O500" i="1"/>
  <c r="W66" i="1"/>
  <c r="H29" i="1"/>
  <c r="H19" i="1" s="1"/>
  <c r="J19" i="1"/>
  <c r="M24" i="1"/>
  <c r="M500" i="1"/>
  <c r="G122" i="1"/>
  <c r="S122" i="1" s="1"/>
  <c r="W122" i="1"/>
  <c r="M503" i="1"/>
  <c r="M27" i="1"/>
  <c r="G27" i="1" s="1"/>
  <c r="G63" i="1"/>
  <c r="S63" i="1" s="1"/>
  <c r="I29" i="1"/>
  <c r="I55" i="1"/>
  <c r="I500" i="1"/>
  <c r="G347" i="1"/>
  <c r="W347" i="1"/>
  <c r="I255" i="1"/>
  <c r="W351" i="1"/>
  <c r="G351" i="1"/>
  <c r="I259" i="1"/>
  <c r="I30" i="1" s="1"/>
  <c r="M171" i="1"/>
  <c r="G183" i="1"/>
  <c r="G172" i="1" s="1"/>
  <c r="O254" i="1"/>
  <c r="G254" i="1" s="1"/>
  <c r="S254" i="1" s="1"/>
  <c r="G278" i="1"/>
  <c r="G272" i="1" s="1"/>
  <c r="M259" i="1"/>
  <c r="M248" i="1" s="1"/>
  <c r="G271" i="1"/>
  <c r="M260" i="1"/>
  <c r="H505" i="1"/>
  <c r="H495" i="1" s="1"/>
  <c r="J495" i="1"/>
  <c r="M501" i="1"/>
  <c r="M25" i="1"/>
  <c r="G128" i="1"/>
  <c r="S128" i="1" s="1"/>
  <c r="W128" i="1"/>
  <c r="G76" i="1"/>
  <c r="M77" i="1"/>
  <c r="M64" i="1"/>
  <c r="I170" i="1" l="1"/>
  <c r="W170" i="1" s="1"/>
  <c r="W169" i="1"/>
  <c r="G246" i="1"/>
  <c r="W246" i="1"/>
  <c r="I40" i="1"/>
  <c r="G40" i="1" s="1"/>
  <c r="I504" i="1"/>
  <c r="W504" i="1" s="1"/>
  <c r="G38" i="1"/>
  <c r="O31" i="1"/>
  <c r="G260" i="1"/>
  <c r="G503" i="1"/>
  <c r="G498" i="1"/>
  <c r="W498" i="1"/>
  <c r="G340" i="1"/>
  <c r="I499" i="1"/>
  <c r="G252" i="1"/>
  <c r="W252" i="1"/>
  <c r="I23" i="1"/>
  <c r="G23" i="1" s="1"/>
  <c r="G24" i="1"/>
  <c r="M78" i="1"/>
  <c r="M67" i="1" s="1"/>
  <c r="M65" i="1"/>
  <c r="G77" i="1"/>
  <c r="M42" i="1"/>
  <c r="M31" i="1" s="1"/>
  <c r="M160" i="1"/>
  <c r="G255" i="1"/>
  <c r="S255" i="1" s="1"/>
  <c r="W255" i="1"/>
  <c r="I502" i="1"/>
  <c r="I26" i="1"/>
  <c r="G26" i="1" s="1"/>
  <c r="M504" i="1"/>
  <c r="M28" i="1"/>
  <c r="G28" i="1" s="1"/>
  <c r="G64" i="1"/>
  <c r="S64" i="1" s="1"/>
  <c r="G259" i="1"/>
  <c r="W259" i="1"/>
  <c r="G117" i="1"/>
  <c r="G247" i="1"/>
  <c r="W247" i="1"/>
  <c r="I171" i="1"/>
  <c r="I236" i="1"/>
  <c r="W236" i="1" s="1"/>
  <c r="S61" i="1"/>
  <c r="I248" i="1"/>
  <c r="W248" i="1" s="1"/>
  <c r="O501" i="1"/>
  <c r="O495" i="1" s="1"/>
  <c r="O25" i="1"/>
  <c r="O19" i="1" s="1"/>
  <c r="O248" i="1"/>
  <c r="W500" i="1"/>
  <c r="G500" i="1"/>
  <c r="W501" i="1"/>
  <c r="I160" i="1" l="1"/>
  <c r="W160" i="1" s="1"/>
  <c r="G236" i="1"/>
  <c r="G170" i="1"/>
  <c r="S170" i="1" s="1"/>
  <c r="G504" i="1"/>
  <c r="G501" i="1"/>
  <c r="I41" i="1"/>
  <c r="G41" i="1" s="1"/>
  <c r="I505" i="1"/>
  <c r="W505" i="1" s="1"/>
  <c r="W499" i="1"/>
  <c r="G499" i="1"/>
  <c r="I19" i="1"/>
  <c r="W171" i="1"/>
  <c r="G171" i="1"/>
  <c r="S171" i="1" s="1"/>
  <c r="I42" i="1"/>
  <c r="G42" i="1" s="1"/>
  <c r="I506" i="1"/>
  <c r="S259" i="1"/>
  <c r="G248" i="1"/>
  <c r="M505" i="1"/>
  <c r="M29" i="1"/>
  <c r="G29" i="1" s="1"/>
  <c r="G65" i="1"/>
  <c r="G25" i="1"/>
  <c r="W502" i="1"/>
  <c r="G502" i="1"/>
  <c r="M66" i="1"/>
  <c r="G78" i="1"/>
  <c r="G67" i="1" s="1"/>
  <c r="G31" i="1" l="1"/>
  <c r="G505" i="1"/>
  <c r="I31" i="1"/>
  <c r="G160" i="1"/>
  <c r="M506" i="1"/>
  <c r="M495" i="1" s="1"/>
  <c r="M30" i="1"/>
  <c r="G66" i="1"/>
  <c r="S66" i="1" s="1"/>
  <c r="W506" i="1"/>
  <c r="S65" i="1"/>
  <c r="M55" i="1"/>
  <c r="I495" i="1"/>
  <c r="W495" i="1" s="1"/>
  <c r="G55" i="1" l="1"/>
  <c r="G506" i="1"/>
  <c r="G495" i="1" s="1"/>
  <c r="M19" i="1"/>
  <c r="G30" i="1"/>
  <c r="G19" i="1" s="1"/>
</calcChain>
</file>

<file path=xl/comments1.xml><?xml version="1.0" encoding="utf-8"?>
<comments xmlns="http://schemas.openxmlformats.org/spreadsheetml/2006/main">
  <authors>
    <author>tc={00750043-0080-4309-BF05-007A00990079}</author>
    <author>tc={00720076-007B-4379-9B84-00C5000400F1}</author>
    <author>tc={006B005C-00C6-4EBC-8A4E-00C500600098}</author>
    <author>tc={004E0033-000F-4165-97C7-006F00B600E8}</author>
    <author>tc={0078008C-00EB-47E4-95CC-005E00A400F5}</author>
  </authors>
  <commentList>
    <comment ref="M68" authorId="0">
      <text>
        <r>
          <rPr>
            <b/>
            <sz val="9"/>
            <rFont val="Tahoma"/>
            <family val="2"/>
            <charset val="204"/>
          </rPr>
          <t>Володина Лидия Михайловна:</t>
        </r>
        <r>
          <rPr>
            <sz val="9"/>
            <rFont val="Tahoma"/>
            <family val="2"/>
            <charset val="204"/>
          </rPr>
          <t xml:space="preserve">
Софинансирование, подали заявку.
</t>
        </r>
      </text>
    </comment>
    <comment ref="O69" authorId="1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c ост. на нач года
</t>
        </r>
      </text>
    </comment>
    <comment ref="I185" authorId="2">
      <text>
        <r>
          <rPr>
            <b/>
            <sz val="9"/>
            <rFont val="Tahoma"/>
            <family val="2"/>
            <charset val="204"/>
          </rPr>
          <t>Володина Лидия Михайловна:</t>
        </r>
        <r>
          <rPr>
            <sz val="9"/>
            <rFont val="Tahoma"/>
            <family val="2"/>
            <charset val="204"/>
          </rPr>
          <t xml:space="preserve">
Для софинансирования 418,0
</t>
        </r>
      </text>
    </comment>
    <comment ref="M185" authorId="3">
      <text>
        <r>
          <rPr>
            <b/>
            <sz val="9"/>
            <rFont val="Tahoma"/>
            <family val="2"/>
            <charset val="204"/>
          </rPr>
          <t>Володина Лидия Михайловна:</t>
        </r>
        <r>
          <rPr>
            <sz val="9"/>
            <rFont val="Tahoma"/>
            <family val="2"/>
            <charset val="204"/>
          </rPr>
          <t xml:space="preserve">
Софинансирование, заявку подали.
</t>
        </r>
      </text>
    </comment>
    <comment ref="J334" authorId="4">
      <text>
        <r>
          <rPr>
            <b/>
            <sz val="9"/>
            <rFont val="Tahoma"/>
            <family val="2"/>
            <charset val="204"/>
          </rPr>
          <t>Шаталина Татьяна Евгеньевна:</t>
        </r>
        <r>
          <rPr>
            <sz val="9"/>
            <rFont val="Tahoma"/>
            <family val="2"/>
            <charset val="204"/>
          </rPr>
          <t xml:space="preserve">
890 фнр к дню победы
</t>
        </r>
      </text>
    </comment>
  </commentList>
</comments>
</file>

<file path=xl/sharedStrings.xml><?xml version="1.0" encoding="utf-8"?>
<sst xmlns="http://schemas.openxmlformats.org/spreadsheetml/2006/main" count="683" uniqueCount="142">
  <si>
    <t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2015 - 2025 годы</t>
  </si>
  <si>
    <t>ПЕРЕЧЕНЬ МЕРОПРИЯТИЙ И РЕСУРСНОЕ ОБЕСПЕЧЕНИЕ  ПОДПРОГРАММЫ 1 «РАЗВИТИЕ КУЛЬТУРЫ»</t>
  </si>
  <si>
    <t>№</t>
  </si>
  <si>
    <t>Код бюджетной классификации (КЦСР, КВР)</t>
  </si>
  <si>
    <t>Уровень приоритетности мероприятий</t>
  </si>
  <si>
    <t>Срок исполнения</t>
  </si>
  <si>
    <t>Объем финансирования (тыс. руб.)</t>
  </si>
  <si>
    <t>В том числе, за счет средств</t>
  </si>
  <si>
    <t>Ответственный исполнитель, соисполнители, участники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</si>
  <si>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</si>
  <si>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</si>
  <si>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</si>
  <si>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</si>
  <si>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</si>
  <si>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</si>
  <si>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</si>
  <si>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rFont val="Times New Roman"/>
        <family val="1"/>
        <charset val="204"/>
      </rPr>
      <t xml:space="preserve"> Повышение качества и доступности услуг в сфере культуры</t>
    </r>
  </si>
  <si>
    <t>Основное мероприятие «Организация предоставления услуг в области культуры» (решается в рамках задач 1.1, 1.2, 1.4)</t>
  </si>
  <si>
    <t>всего</t>
  </si>
  <si>
    <t>УК    АКР
АЛР
АОР
АСР</t>
  </si>
  <si>
    <t>2015 год</t>
  </si>
  <si>
    <t>КЦСР 0310100000, КВР 000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</si>
  <si>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</si>
  <si>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</si>
  <si>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</si>
  <si>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</si>
  <si>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</si>
  <si>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</si>
  <si>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</si>
  <si>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</si>
  <si>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</si>
  <si>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</si>
  <si>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  Основное мероприятие  «Организация предоставления
дополнительного образования художественно-
эстетической направленности детям» (решается в рамках задачи 1.3)       </t>
  </si>
  <si>
    <t>УК</t>
  </si>
  <si>
    <t>КЦСР 0310200000, КВР 000</t>
  </si>
  <si>
    <t xml:space="preserve">Основное мероприятие  «Реализация регионального проекта «Культурная среда» национального проекта  «Культура» (решается в рамках задачи 1.5) </t>
  </si>
  <si>
    <t>КЦСР 03 1 А1 00000, КВР 000</t>
  </si>
  <si>
    <t>1.</t>
  </si>
  <si>
    <t xml:space="preserve">Задача 1.1 </t>
  </si>
  <si>
    <t xml:space="preserve">Организация библиотечного обслуживания населения </t>
  </si>
  <si>
    <t>КЦСР 03 1 0000,               КВР 000</t>
  </si>
  <si>
    <t>КЦСР 03 1 01 00000,               КВР 000</t>
  </si>
  <si>
    <t>1.1.1. Обеспечение беспрепятственного доступа населения к информационно-библиотечным ресурсам</t>
  </si>
  <si>
    <t>КЦСР 0316406,                             0316405,                                                       0310059,                                       КВР 621, 622</t>
  </si>
  <si>
    <t>I</t>
  </si>
  <si>
    <t xml:space="preserve">А                    </t>
  </si>
  <si>
    <t>КЦСР 0310100590, 0310140650, 0310140660,               КВР 621,622</t>
  </si>
  <si>
    <t>1.1.2.Приобретение доступа к полнотекстовым базам книг и периодических изданий</t>
  </si>
  <si>
    <t xml:space="preserve"> с 01.01.2016 мероприятие реализуется в рамках мероприятия 1.1.1. Обеспечение беспрепятственного доступа населения к информационно-библиотечным ресурсам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</si>
  <si>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«Кольцевая», МБ «Эврика» 2017 год . МБ «Лада» 2018 год</t>
  </si>
  <si>
    <t>1.1.3 .Обеспечение пожарной безопасности муниципальных библиотек</t>
  </si>
  <si>
    <t>II</t>
  </si>
  <si>
    <t>КЦСР 0310100590,           КВР 622, 621</t>
  </si>
  <si>
    <t>1.1.4.Организация трудоустройства несовершеннолетних детей в каникулярное время</t>
  </si>
  <si>
    <t>КЦСР 0310059,           КВР 622</t>
  </si>
  <si>
    <t>КЦСР 0310100590,           КВР 622</t>
  </si>
  <si>
    <t>2.</t>
  </si>
  <si>
    <t>Задача 1.2.</t>
  </si>
  <si>
    <t xml:space="preserve"> Организация  музейного обслуживания  населения</t>
  </si>
  <si>
    <t xml:space="preserve">КЦСР 03 1 01 00000,                  КВР 000 </t>
  </si>
  <si>
    <t>1.2.1. Обеспечение равного доступа к культурным ценностям посредством предоставления музейных услуг</t>
  </si>
  <si>
    <t>КЦСР 0316406,                             0316405,                                                       0310059,                    КВР 621, 622</t>
  </si>
  <si>
    <t>КЦСР 0310100590, 0310140650, 0310140660,               КВР 621, 622</t>
  </si>
  <si>
    <t>КЦСР 0310100590, 03101S0650,                 03101S0660, 0310140650, 0310140660,               КВР 621,622</t>
  </si>
  <si>
    <t>1.2.2. Оцифровка и электронная каталогизация музейного фонда Музея истории Томска</t>
  </si>
  <si>
    <t>-</t>
  </si>
  <si>
    <t>с 01.01.2016 мероприятие реализуется в рамках мероприятия 1.2.1. Обеспечение равного доступа к культурным ценностям посредством предоставления музейных услуг</t>
  </si>
  <si>
    <t>1.2.3. Проведение мероприятий по обеспечению противопожарной безопасности в  музее.</t>
  </si>
  <si>
    <t>Задача 1.3.</t>
  </si>
  <si>
    <t xml:space="preserve">Организация предоставления дополнительного образования художественно-эстетической направленности </t>
  </si>
  <si>
    <t>КЦСР 00 0 0000, КВР 000</t>
  </si>
  <si>
    <t>КЦСР 03 1 02 00000,                 КВР 000</t>
  </si>
  <si>
    <t xml:space="preserve">1.3.1. Предоставление дополнительного образования </t>
  </si>
  <si>
    <t>КЦСР 0316505, 0316309,      0316012,      0310059,            КВР 611, 612, 621, 622</t>
  </si>
  <si>
    <t>КЦСР  0310240400, 0310240530, 0310240670, 0310200590,             КВР 611,612, 621, 622</t>
  </si>
  <si>
    <t>КЦСР 0310200590, 03102S0400, 0310240530, 03102S0670, 0310240670, 0310240400,     0310240690, 0310241030,  03102L5190                КВР 611,612, 621, 622</t>
  </si>
  <si>
    <t>1.3.2. Обеспечение муниципальных учреждений дополнительного образования музыкальными инструментами</t>
  </si>
  <si>
    <t>КЦСР 0310059,           КВР 622, 621,  612,611</t>
  </si>
  <si>
    <t>КЦСР 0310200590,  03102L5190            КВР 622, 621,  612,611</t>
  </si>
  <si>
    <t>с 01.01.2020 мероприятия реализуются в рамках мероприятия 1.3.1. Предоставление дополнительного образования</t>
  </si>
  <si>
    <t>1.3.3. Обеспечение муниципальных учреждений дополнительного образования специальным оборудованием</t>
  </si>
  <si>
    <t>КЦСР 0310200590,           КВР 622,  612, 611, 621</t>
  </si>
  <si>
    <t>с 01.01.2019 мероприятия реализуются в рамках мероприятия 1.3.1. Предоставление дополнительного образования</t>
  </si>
  <si>
    <t xml:space="preserve">1.3.4. Внедрение современных информационных технологий в образовательный процесс    </t>
  </si>
  <si>
    <t>с 01.01.2016 мероприятия реализуются в рамках мероприятия 1.3.1. Предоставление дополнительного образования</t>
  </si>
  <si>
    <t xml:space="preserve">1.3.5. Совершенствование системы образовательного процесса </t>
  </si>
  <si>
    <t>1.3.6. Развитие и поддержка творческих коллективов, одаренных детей и молодежи  в МОУ ДО</t>
  </si>
  <si>
    <t>1.3.7. Разработка проектно-сметной документации на проведение капитального ремонта и капитальный ремонт  ДШИ №1, ДМШ №2</t>
  </si>
  <si>
    <t>1.3.7. Обеспечение пожарной безопасности МОУ ДО</t>
  </si>
  <si>
    <t>A</t>
  </si>
  <si>
    <t>КЦСР 0310059,           КВР 622, 612</t>
  </si>
  <si>
    <t>КЦСР 0310200590,          КВР 622, 612</t>
  </si>
  <si>
    <t xml:space="preserve">Задача  1.4. </t>
  </si>
  <si>
    <t>Организация предоставления  культурно- досуговых услуг</t>
  </si>
  <si>
    <t xml:space="preserve">КЦСР 03 1 01 00000,                      КВР 000 </t>
  </si>
  <si>
    <t>1.4.1. Предоставление культурно-досуговых услуг.</t>
  </si>
  <si>
    <t>1.4.2. Создание условий для организации пляжного отдыха</t>
  </si>
  <si>
    <t>КЦСР 0310059,           КВР 621, 622</t>
  </si>
  <si>
    <t>КЦСР 0310100590,          КВР 621,622</t>
  </si>
  <si>
    <t>1.4.3. Приобретение светотехнического и звукотехнического оборудования</t>
  </si>
  <si>
    <t>с 01.01.2016 мероприятия реализуются в рамках мероприятия 1.4.1. Предоставление культурно-досуговых услуг</t>
  </si>
  <si>
    <t>1.4.4. Приобретение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</si>
  <si>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«Светлый» 2017 год ДК «Томский перекресток» 2018 год
</t>
  </si>
  <si>
    <t>ДК "Светлый" 2017 год</t>
  </si>
  <si>
    <t>ДК "Томский перекресток" 2018 год</t>
  </si>
  <si>
    <t>1.4.6. Строительство МКОЦ «Степановский»</t>
  </si>
  <si>
    <t xml:space="preserve">1.4.5. Создание условий для сохранения и развития традиционной народной культуры, нематериального культурного наследия  </t>
  </si>
  <si>
    <t>с 01.01.2016 мероприятие реализуется в рамках подпрограммы IV.III «Организация и обеспечение эффективного функционирования сети учреждений»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</si>
  <si>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</si>
  <si>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</si>
  <si>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с 01.01.2016 мероприятие реализуется в рамках мероприятия 1.4.1. Предоставление культурно-досуговых услуг</t>
  </si>
  <si>
    <t>1.4.8. Поддержка мероприятий, посвящённых значимым событиям российской культуры и развитию культурного сотрудничества</t>
  </si>
  <si>
    <t>1.4.9. Обеспечение пожарной безопасности культурно-досуговых учреждений</t>
  </si>
  <si>
    <t>КЦСР 0310100590,          КВР 622</t>
  </si>
  <si>
    <t>Ж</t>
  </si>
  <si>
    <t>АКР</t>
  </si>
  <si>
    <t>КЦСР 03 1 01 20380 КВР 244</t>
  </si>
  <si>
    <t>АЛР</t>
  </si>
  <si>
    <t>АОР</t>
  </si>
  <si>
    <t>АСР</t>
  </si>
  <si>
    <t>Задача  1.5</t>
  </si>
  <si>
    <t>Реализация регионального проекта «Культурная среда» национального проекта  «Культура»</t>
  </si>
  <si>
    <t xml:space="preserve">КЦСР 03 1 А1  00000,     КВР 000 </t>
  </si>
  <si>
    <t>1.5.1.Создание модельных муниципальных библиотек по результатам конкурсного отбора, проводимого Министерством культуры Российской Федерации</t>
  </si>
  <si>
    <t>А</t>
  </si>
  <si>
    <t>КЦСР 03 1 А1 54540,     03 1 A1 5454F            КВР 622</t>
  </si>
  <si>
    <t xml:space="preserve">Итого по Подпрограмме 1 </t>
  </si>
  <si>
    <t xml:space="preserve">Приложение 4 к постановлению
администрации Города Томска от    №
</t>
  </si>
  <si>
    <t>КЦСР 03 1 А1 55900,      КВР 622</t>
  </si>
  <si>
    <t>1.5.3.  Техническое оснащение региональных и муниципальных музеев</t>
  </si>
  <si>
    <t>1.5.2. Увеличение числа посещений организаций культуры</t>
  </si>
  <si>
    <t>КЦСР 0310100590, 03101S0650,                 03101S0660, 0310140650, 0310140660, 03101L4670                  КВР 621,622</t>
  </si>
  <si>
    <t>КЦСР 0310100590, 03101S0650,                 03101S0660, 0310140650, 0310140660,  03101L5190;      03101L519F; 03101L5191                КВР 621,622</t>
  </si>
  <si>
    <t>1.4.13. Организация и проведение Администрацией Советского района Города Томска социально значимых мероприятий</t>
  </si>
  <si>
    <t>1.4.12. Организация и проведение Администрацией Октябрьского района Города Томска социально значимых мероприятий</t>
  </si>
  <si>
    <t>1.4.11. Организация и проведение Администрацией  Ленинского района Города Томска социально значимых мероприятий</t>
  </si>
  <si>
    <t>1.4.10. Организация и проведение Администрацией Кировского района Города Томска социально значимых мероприятий</t>
  </si>
  <si>
    <t>КЦСР 03 1 01 00590 КВР 622</t>
  </si>
  <si>
    <t>Наименования целей, задач, мероприятий подпрограммы</t>
  </si>
  <si>
    <t>Критерий определения уровня приоритетности мероприятий</t>
  </si>
  <si>
    <t>1.4.14. Субсидия автономным учреждениям в целях проведения капитального ремонта (разработка проектно-сметной документации на капитальный ремонт кровли МАУ "ДК "Маяк" по адресу: г. Томск, ул. Иркутский тракт, 86/1)</t>
  </si>
  <si>
    <t xml:space="preserve">администрации Города Томска от 29.01.2024 №  69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</si>
</sst>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0.0"/>
  </numFmts>
  <fonts count="11" x14ac:knownFonts="1">
    <font>
      <sz val="12"/>
      <color theme="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6" fillId="2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" fillId="2" borderId="0" xfId="0" applyFont="1" applyFill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64" fontId="2" fillId="2" borderId="0" xfId="0" applyNumberFormat="1" applyFont="1" applyFill="1"/>
    <xf numFmtId="0" fontId="2" fillId="2" borderId="6" xfId="0" applyFont="1" applyFill="1" applyBorder="1"/>
    <xf numFmtId="0" fontId="4" fillId="2" borderId="8" xfId="0" applyFont="1" applyFill="1" applyBorder="1" applyAlignment="1">
      <alignment vertical="center" wrapText="1"/>
    </xf>
    <xf numFmtId="165" fontId="2" fillId="2" borderId="0" xfId="0" applyNumberFormat="1" applyFont="1" applyFill="1"/>
    <xf numFmtId="4" fontId="2" fillId="2" borderId="0" xfId="0" applyNumberFormat="1" applyFont="1" applyFill="1"/>
    <xf numFmtId="4" fontId="2" fillId="2" borderId="1" xfId="0" applyNumberFormat="1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vertical="center" wrapText="1"/>
    </xf>
    <xf numFmtId="4" fontId="2" fillId="2" borderId="9" xfId="0" applyNumberFormat="1" applyFont="1" applyFill="1" applyBorder="1"/>
    <xf numFmtId="164" fontId="2" fillId="2" borderId="9" xfId="0" applyNumberFormat="1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3" fontId="2" fillId="2" borderId="0" xfId="0" applyNumberFormat="1" applyFont="1" applyFill="1"/>
    <xf numFmtId="0" fontId="1" fillId="2" borderId="0" xfId="0" applyFont="1" applyFill="1" applyAlignment="1">
      <alignment vertical="center"/>
    </xf>
    <xf numFmtId="164" fontId="0" fillId="2" borderId="0" xfId="0" applyNumberFormat="1" applyFill="1"/>
    <xf numFmtId="164" fontId="4" fillId="2" borderId="8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" fontId="2" fillId="2" borderId="0" xfId="0" applyNumberFormat="1" applyFont="1" applyFill="1"/>
    <xf numFmtId="0" fontId="3" fillId="2" borderId="8" xfId="0" applyFont="1" applyFill="1" applyBorder="1" applyAlignment="1">
      <alignment vertical="center" wrapText="1"/>
    </xf>
    <xf numFmtId="1" fontId="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1" xfId="0" applyNumberFormat="1" applyFont="1" applyFill="1" applyBorder="1"/>
    <xf numFmtId="0" fontId="3" fillId="2" borderId="3" xfId="0" applyFont="1" applyFill="1" applyBorder="1" applyAlignment="1">
      <alignment vertical="center" textRotation="90"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 textRotation="90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16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2" fillId="2" borderId="2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5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517"/>
  <sheetViews>
    <sheetView tabSelected="1" workbookViewId="0">
      <selection activeCell="A2" sqref="A2:Q2"/>
    </sheetView>
  </sheetViews>
  <sheetFormatPr defaultColWidth="9" defaultRowHeight="15.75" customHeight="1" x14ac:dyDescent="0.3"/>
  <cols>
    <col min="1" max="1" width="3.8984375" style="1" customWidth="1"/>
    <col min="2" max="2" width="16.5" style="2" customWidth="1"/>
    <col min="3" max="3" width="10" style="3" customWidth="1"/>
    <col min="4" max="5" width="5.19921875" style="3" customWidth="1"/>
    <col min="6" max="6" width="9.5" style="3" customWidth="1"/>
    <col min="7" max="7" width="10.8984375" style="4" customWidth="1"/>
    <col min="8" max="8" width="9.3984375" style="4" customWidth="1"/>
    <col min="9" max="9" width="8.8984375" style="3" customWidth="1"/>
    <col min="10" max="10" width="10.19921875" style="3" customWidth="1"/>
    <col min="11" max="11" width="11.69921875" style="3" customWidth="1"/>
    <col min="12" max="12" width="7.69921875" style="3" customWidth="1"/>
    <col min="13" max="13" width="9.3984375" style="3" customWidth="1"/>
    <col min="14" max="15" width="9.8984375" style="3" customWidth="1"/>
    <col min="16" max="16" width="8" style="3" bestFit="1" customWidth="1"/>
    <col min="17" max="17" width="8.69921875" style="5" customWidth="1"/>
    <col min="18" max="18" width="6.8984375" style="1" hidden="1" customWidth="1"/>
    <col min="19" max="21" width="9.8984375" style="1" hidden="1" customWidth="1"/>
    <col min="22" max="22" width="19.09765625" style="1" hidden="1" customWidth="1"/>
    <col min="23" max="23" width="8.8984375" style="1" hidden="1" customWidth="1"/>
    <col min="24" max="24" width="6.8984375" style="1" hidden="1" customWidth="1"/>
    <col min="25" max="29" width="19.19921875" style="1" hidden="1" customWidth="1"/>
    <col min="30" max="30" width="10.09765625" style="1" hidden="1" customWidth="1"/>
    <col min="31" max="31" width="0" style="1" hidden="1"/>
    <col min="32" max="32" width="10.09765625" style="1" hidden="1" customWidth="1"/>
    <col min="33" max="33" width="9.69921875" style="1" hidden="1" customWidth="1"/>
    <col min="34" max="34" width="9.09765625" style="1" hidden="1" customWidth="1"/>
    <col min="35" max="183" width="9" style="1" hidden="1" customWidth="1"/>
    <col min="184" max="184" width="8.8984375" style="1" hidden="1" customWidth="1"/>
    <col min="185" max="257" width="9" style="1" customWidth="1"/>
    <col min="258" max="16384" width="9" style="1"/>
  </cols>
  <sheetData>
    <row r="1" spans="1:18" ht="15.6" x14ac:dyDescent="0.3">
      <c r="A1" s="148" t="s">
        <v>127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8" ht="15.6" x14ac:dyDescent="0.3">
      <c r="A2" s="149" t="s">
        <v>141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8" ht="15.6" x14ac:dyDescent="0.3">
      <c r="A3" s="6"/>
      <c r="N3" s="150" t="s">
        <v>0</v>
      </c>
      <c r="O3" s="150"/>
      <c r="P3" s="150"/>
      <c r="Q3" s="150"/>
    </row>
    <row r="4" spans="1:18" ht="15.6" x14ac:dyDescent="0.3">
      <c r="A4" s="6"/>
      <c r="N4" s="150"/>
      <c r="O4" s="150"/>
      <c r="P4" s="150"/>
      <c r="Q4" s="150"/>
    </row>
    <row r="5" spans="1:18" ht="15.6" x14ac:dyDescent="0.3">
      <c r="A5" s="6"/>
      <c r="N5" s="150"/>
      <c r="O5" s="150"/>
      <c r="P5" s="150"/>
      <c r="Q5" s="150"/>
    </row>
    <row r="6" spans="1:18" ht="63" customHeight="1" x14ac:dyDescent="0.3">
      <c r="A6" s="6"/>
      <c r="N6" s="150"/>
      <c r="O6" s="150"/>
      <c r="P6" s="150"/>
      <c r="Q6" s="150"/>
    </row>
    <row r="7" spans="1:18" ht="15.6" x14ac:dyDescent="0.3">
      <c r="A7" s="73"/>
    </row>
    <row r="8" spans="1:18" ht="15.6" x14ac:dyDescent="0.3">
      <c r="A8" s="151" t="s">
        <v>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18" ht="15.6" x14ac:dyDescent="0.3">
      <c r="A9" s="73"/>
    </row>
    <row r="10" spans="1:18" ht="15.6" hidden="1" x14ac:dyDescent="0.3">
      <c r="A10" s="73"/>
    </row>
    <row r="11" spans="1:18" ht="15.6" x14ac:dyDescent="0.3">
      <c r="A11" s="73"/>
    </row>
    <row r="12" spans="1:18" ht="15.6" x14ac:dyDescent="0.3">
      <c r="A12" s="82" t="s">
        <v>2</v>
      </c>
      <c r="B12" s="79" t="s">
        <v>138</v>
      </c>
      <c r="C12" s="79" t="s">
        <v>3</v>
      </c>
      <c r="D12" s="79" t="s">
        <v>4</v>
      </c>
      <c r="E12" s="79" t="s">
        <v>139</v>
      </c>
      <c r="F12" s="82" t="s">
        <v>5</v>
      </c>
      <c r="G12" s="84" t="s">
        <v>6</v>
      </c>
      <c r="H12" s="84"/>
      <c r="I12" s="82" t="s">
        <v>7</v>
      </c>
      <c r="J12" s="82"/>
      <c r="K12" s="82"/>
      <c r="L12" s="82"/>
      <c r="M12" s="82"/>
      <c r="N12" s="82"/>
      <c r="O12" s="82"/>
      <c r="P12" s="82"/>
      <c r="Q12" s="82" t="s">
        <v>8</v>
      </c>
    </row>
    <row r="13" spans="1:18" ht="95.25" customHeight="1" x14ac:dyDescent="0.3">
      <c r="A13" s="82"/>
      <c r="B13" s="80"/>
      <c r="C13" s="80"/>
      <c r="D13" s="80"/>
      <c r="E13" s="80"/>
      <c r="F13" s="82"/>
      <c r="G13" s="84"/>
      <c r="H13" s="84"/>
      <c r="I13" s="82" t="s">
        <v>9</v>
      </c>
      <c r="J13" s="82"/>
      <c r="K13" s="82" t="s">
        <v>10</v>
      </c>
      <c r="L13" s="82"/>
      <c r="M13" s="82" t="s">
        <v>11</v>
      </c>
      <c r="N13" s="82"/>
      <c r="O13" s="82" t="s">
        <v>12</v>
      </c>
      <c r="P13" s="82"/>
      <c r="Q13" s="82"/>
      <c r="R13" s="7"/>
    </row>
    <row r="14" spans="1:18" ht="91.95" customHeight="1" x14ac:dyDescent="0.3">
      <c r="A14" s="82"/>
      <c r="B14" s="81"/>
      <c r="C14" s="81"/>
      <c r="D14" s="81"/>
      <c r="E14" s="81"/>
      <c r="F14" s="82"/>
      <c r="G14" s="63" t="s">
        <v>13</v>
      </c>
      <c r="H14" s="63" t="s">
        <v>14</v>
      </c>
      <c r="I14" s="63" t="s">
        <v>13</v>
      </c>
      <c r="J14" s="63" t="s">
        <v>14</v>
      </c>
      <c r="K14" s="63" t="s">
        <v>13</v>
      </c>
      <c r="L14" s="63" t="s">
        <v>14</v>
      </c>
      <c r="M14" s="63" t="s">
        <v>13</v>
      </c>
      <c r="N14" s="63" t="s">
        <v>14</v>
      </c>
      <c r="O14" s="63" t="s">
        <v>13</v>
      </c>
      <c r="P14" s="63" t="s">
        <v>15</v>
      </c>
      <c r="Q14" s="63"/>
      <c r="R14" s="7"/>
    </row>
    <row r="15" spans="1:18" s="6" customFormat="1" ht="45" customHeight="1" x14ac:dyDescent="0.3">
      <c r="A15" s="63">
        <v>1</v>
      </c>
      <c r="B15" s="63">
        <v>2</v>
      </c>
      <c r="C15" s="63">
        <v>3</v>
      </c>
      <c r="D15" s="63">
        <v>4</v>
      </c>
      <c r="E15" s="63">
        <v>5</v>
      </c>
      <c r="F15" s="63">
        <v>6</v>
      </c>
      <c r="G15" s="63">
        <v>7</v>
      </c>
      <c r="H15" s="63">
        <v>8</v>
      </c>
      <c r="I15" s="63">
        <v>9</v>
      </c>
      <c r="J15" s="63">
        <v>10</v>
      </c>
      <c r="K15" s="63">
        <v>11</v>
      </c>
      <c r="L15" s="63">
        <v>12</v>
      </c>
      <c r="M15" s="63">
        <v>13</v>
      </c>
      <c r="N15" s="63">
        <v>14</v>
      </c>
      <c r="O15" s="63">
        <v>15</v>
      </c>
      <c r="P15" s="63">
        <v>16</v>
      </c>
      <c r="Q15" s="63">
        <v>17</v>
      </c>
      <c r="R15" s="8"/>
    </row>
    <row r="16" spans="1:18" s="3" customFormat="1" ht="15.6" x14ac:dyDescent="0.3">
      <c r="A16" s="143" t="s">
        <v>16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9"/>
    </row>
    <row r="17" spans="1:216" ht="19.5" customHeight="1" x14ac:dyDescent="0.3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7"/>
    </row>
    <row r="18" spans="1:216" ht="16.5" hidden="1" customHeight="1" x14ac:dyDescent="0.3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7"/>
    </row>
    <row r="19" spans="1:216" s="10" customFormat="1" ht="16.5" customHeight="1" x14ac:dyDescent="0.3">
      <c r="A19" s="134"/>
      <c r="B19" s="74" t="s">
        <v>17</v>
      </c>
      <c r="C19" s="4"/>
      <c r="D19" s="4"/>
      <c r="E19" s="4"/>
      <c r="F19" s="64" t="s">
        <v>18</v>
      </c>
      <c r="G19" s="11">
        <f>SUM(G20:G30)</f>
        <v>3841769.2059999956</v>
      </c>
      <c r="H19" s="11">
        <f t="shared" ref="H19:P19" si="0">SUM(H20:H30)</f>
        <v>3201688.7259999989</v>
      </c>
      <c r="I19" s="11">
        <f t="shared" si="0"/>
        <v>2409279.6299999962</v>
      </c>
      <c r="J19" s="11">
        <f t="shared" si="0"/>
        <v>2105237.5099999993</v>
      </c>
      <c r="K19" s="11">
        <f t="shared" si="0"/>
        <v>4384.2999999999993</v>
      </c>
      <c r="L19" s="11">
        <f t="shared" si="0"/>
        <v>2226.4999999999991</v>
      </c>
      <c r="M19" s="11">
        <f t="shared" si="0"/>
        <v>1049199.0759999999</v>
      </c>
      <c r="N19" s="11">
        <f t="shared" si="0"/>
        <v>715318.5159999996</v>
      </c>
      <c r="O19" s="11">
        <f t="shared" si="0"/>
        <v>378906.19999999972</v>
      </c>
      <c r="P19" s="11">
        <f t="shared" si="0"/>
        <v>378906.19999999972</v>
      </c>
      <c r="Q19" s="144" t="s">
        <v>19</v>
      </c>
      <c r="R19" s="12"/>
    </row>
    <row r="20" spans="1:216" s="13" customFormat="1" ht="57" customHeight="1" x14ac:dyDescent="0.3">
      <c r="A20" s="135"/>
      <c r="B20" s="75"/>
      <c r="F20" s="57" t="s">
        <v>20</v>
      </c>
      <c r="G20" s="14">
        <f t="shared" ref="G20:G30" si="1">I20+K20+M20+O20</f>
        <v>243155.49999999988</v>
      </c>
      <c r="H20" s="14">
        <f t="shared" ref="H20:H30" si="2">J20+L20+N20+P20</f>
        <v>207312.1999999999</v>
      </c>
      <c r="I20" s="14">
        <f t="shared" ref="I20:P22" si="3">I56+I118+I249</f>
        <v>170316.7999999999</v>
      </c>
      <c r="J20" s="14">
        <f t="shared" si="3"/>
        <v>138477.49999999988</v>
      </c>
      <c r="K20" s="14">
        <f t="shared" si="3"/>
        <v>725</v>
      </c>
      <c r="L20" s="14">
        <f t="shared" si="3"/>
        <v>0</v>
      </c>
      <c r="M20" s="14">
        <f t="shared" si="3"/>
        <v>42070</v>
      </c>
      <c r="N20" s="14">
        <f t="shared" si="3"/>
        <v>38791</v>
      </c>
      <c r="O20" s="14">
        <f t="shared" si="3"/>
        <v>30043.699999999997</v>
      </c>
      <c r="P20" s="14">
        <f t="shared" si="3"/>
        <v>30043.699999999997</v>
      </c>
      <c r="Q20" s="145"/>
      <c r="R20" s="15"/>
      <c r="AH20" s="16"/>
    </row>
    <row r="21" spans="1:216" s="17" customFormat="1" ht="81" customHeight="1" x14ac:dyDescent="0.3">
      <c r="A21" s="135"/>
      <c r="B21" s="75"/>
      <c r="C21" s="147" t="s">
        <v>21</v>
      </c>
      <c r="D21" s="57"/>
      <c r="E21" s="57"/>
      <c r="F21" s="64" t="s">
        <v>22</v>
      </c>
      <c r="G21" s="11">
        <f t="shared" si="1"/>
        <v>234210.14999999959</v>
      </c>
      <c r="H21" s="11">
        <f t="shared" si="2"/>
        <v>219554.23999999961</v>
      </c>
      <c r="I21" s="11">
        <f t="shared" si="3"/>
        <v>156692.44999999978</v>
      </c>
      <c r="J21" s="11">
        <f t="shared" si="3"/>
        <v>146006.5399999998</v>
      </c>
      <c r="K21" s="11">
        <f t="shared" si="3"/>
        <v>797.5</v>
      </c>
      <c r="L21" s="11">
        <f t="shared" si="3"/>
        <v>0</v>
      </c>
      <c r="M21" s="11">
        <f t="shared" si="3"/>
        <v>40827.399999999907</v>
      </c>
      <c r="N21" s="11">
        <f t="shared" si="3"/>
        <v>37654.899999999907</v>
      </c>
      <c r="O21" s="11">
        <f t="shared" si="3"/>
        <v>35892.799999999894</v>
      </c>
      <c r="P21" s="11">
        <f t="shared" si="3"/>
        <v>35892.799999999894</v>
      </c>
      <c r="Q21" s="145"/>
      <c r="R21" s="15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</row>
    <row r="22" spans="1:216" s="13" customFormat="1" ht="15.6" customHeight="1" x14ac:dyDescent="0.3">
      <c r="A22" s="135"/>
      <c r="B22" s="75"/>
      <c r="C22" s="147"/>
      <c r="D22" s="58"/>
      <c r="E22" s="58"/>
      <c r="F22" s="64" t="s">
        <v>23</v>
      </c>
      <c r="G22" s="11">
        <f t="shared" si="1"/>
        <v>278338.59599999967</v>
      </c>
      <c r="H22" s="11">
        <f t="shared" si="2"/>
        <v>270093.19599999971</v>
      </c>
      <c r="I22" s="11">
        <f t="shared" si="3"/>
        <v>164042.49999999988</v>
      </c>
      <c r="J22" s="11">
        <f t="shared" si="3"/>
        <v>157321.7999999999</v>
      </c>
      <c r="K22" s="11">
        <f t="shared" si="3"/>
        <v>635.29999999999995</v>
      </c>
      <c r="L22" s="11">
        <f t="shared" si="3"/>
        <v>0</v>
      </c>
      <c r="M22" s="11">
        <f t="shared" si="3"/>
        <v>72734.295999999798</v>
      </c>
      <c r="N22" s="11">
        <f t="shared" si="3"/>
        <v>71844.89599999979</v>
      </c>
      <c r="O22" s="11">
        <f t="shared" si="3"/>
        <v>40926.499999999978</v>
      </c>
      <c r="P22" s="11">
        <f t="shared" si="3"/>
        <v>40926.499999999978</v>
      </c>
      <c r="Q22" s="145"/>
      <c r="R22" s="18"/>
      <c r="T22" s="19"/>
      <c r="U22" s="19"/>
      <c r="Y22" s="20"/>
      <c r="Z22" s="20"/>
      <c r="AB22" s="20"/>
    </row>
    <row r="23" spans="1:216" s="13" customFormat="1" ht="15.6" x14ac:dyDescent="0.3">
      <c r="A23" s="135"/>
      <c r="B23" s="75"/>
      <c r="C23" s="147"/>
      <c r="D23" s="58"/>
      <c r="E23" s="58"/>
      <c r="F23" s="64" t="s">
        <v>24</v>
      </c>
      <c r="G23" s="11">
        <f t="shared" si="1"/>
        <v>312004.59999999986</v>
      </c>
      <c r="H23" s="11">
        <f t="shared" si="2"/>
        <v>299953</v>
      </c>
      <c r="I23" s="11">
        <f t="shared" ref="I23:P30" si="4">I59+I121+I252+I404</f>
        <v>174340.49999999988</v>
      </c>
      <c r="J23" s="11">
        <f t="shared" si="4"/>
        <v>162288.90000000002</v>
      </c>
      <c r="K23" s="11">
        <f t="shared" si="4"/>
        <v>518.5</v>
      </c>
      <c r="L23" s="11">
        <f t="shared" si="4"/>
        <v>518.5</v>
      </c>
      <c r="M23" s="11">
        <f t="shared" si="4"/>
        <v>98216.8</v>
      </c>
      <c r="N23" s="11">
        <f t="shared" si="4"/>
        <v>98216.8</v>
      </c>
      <c r="O23" s="11">
        <f t="shared" si="4"/>
        <v>38928.800000000003</v>
      </c>
      <c r="P23" s="11">
        <f t="shared" si="4"/>
        <v>38928.800000000003</v>
      </c>
      <c r="Q23" s="145"/>
      <c r="R23" s="18"/>
      <c r="S23" s="20"/>
      <c r="T23" s="20"/>
      <c r="U23" s="20"/>
      <c r="W23" s="20"/>
      <c r="X23" s="20"/>
      <c r="AC23" s="20"/>
      <c r="AD23" s="20"/>
      <c r="AF23" s="20"/>
      <c r="AG23" s="20"/>
      <c r="AH23" s="16"/>
      <c r="AI23" s="16"/>
    </row>
    <row r="24" spans="1:216" s="13" customFormat="1" ht="15.6" x14ac:dyDescent="0.3">
      <c r="A24" s="135"/>
      <c r="B24" s="75"/>
      <c r="C24" s="147"/>
      <c r="D24" s="58"/>
      <c r="E24" s="58"/>
      <c r="F24" s="64" t="s">
        <v>25</v>
      </c>
      <c r="G24" s="11">
        <f t="shared" si="1"/>
        <v>315757.40000000002</v>
      </c>
      <c r="H24" s="11">
        <f t="shared" si="2"/>
        <v>309435.19999999995</v>
      </c>
      <c r="I24" s="11">
        <f t="shared" si="4"/>
        <v>176014.09999999998</v>
      </c>
      <c r="J24" s="11">
        <f>J60+J122+J253+J405</f>
        <v>170764.59999999998</v>
      </c>
      <c r="K24" s="11">
        <f t="shared" si="4"/>
        <v>0</v>
      </c>
      <c r="L24" s="11">
        <f t="shared" si="4"/>
        <v>0</v>
      </c>
      <c r="M24" s="11">
        <f t="shared" si="4"/>
        <v>99397.9</v>
      </c>
      <c r="N24" s="11">
        <f t="shared" si="4"/>
        <v>98325.2</v>
      </c>
      <c r="O24" s="11">
        <f t="shared" si="4"/>
        <v>40345.399999999994</v>
      </c>
      <c r="P24" s="11">
        <f t="shared" si="4"/>
        <v>40345.399999999994</v>
      </c>
      <c r="Q24" s="145"/>
      <c r="R24" s="18"/>
      <c r="S24" s="20"/>
      <c r="T24" s="20"/>
      <c r="U24" s="20"/>
      <c r="W24" s="20"/>
      <c r="X24" s="20"/>
      <c r="Y24" s="16"/>
      <c r="Z24" s="16"/>
      <c r="AA24" s="16"/>
      <c r="AC24" s="20"/>
      <c r="AD24" s="20"/>
      <c r="AH24" s="16"/>
    </row>
    <row r="25" spans="1:216" s="13" customFormat="1" ht="15.6" x14ac:dyDescent="0.3">
      <c r="A25" s="135"/>
      <c r="B25" s="75"/>
      <c r="C25" s="147"/>
      <c r="D25" s="58"/>
      <c r="E25" s="58"/>
      <c r="F25" s="64" t="s">
        <v>26</v>
      </c>
      <c r="G25" s="11">
        <f t="shared" si="1"/>
        <v>338881.18</v>
      </c>
      <c r="H25" s="11">
        <f t="shared" si="2"/>
        <v>284990.72000000003</v>
      </c>
      <c r="I25" s="11">
        <f t="shared" si="4"/>
        <v>216555.28</v>
      </c>
      <c r="J25" s="11">
        <f t="shared" si="4"/>
        <v>190968.82</v>
      </c>
      <c r="K25" s="11">
        <f t="shared" si="4"/>
        <v>0</v>
      </c>
      <c r="L25" s="11">
        <f t="shared" si="4"/>
        <v>0</v>
      </c>
      <c r="M25" s="11">
        <f t="shared" si="4"/>
        <v>98844.700000000012</v>
      </c>
      <c r="N25" s="11">
        <f t="shared" si="4"/>
        <v>70540.7</v>
      </c>
      <c r="O25" s="11">
        <f t="shared" si="4"/>
        <v>23481.200000000001</v>
      </c>
      <c r="P25" s="11">
        <f t="shared" si="4"/>
        <v>23481.200000000001</v>
      </c>
      <c r="Q25" s="145"/>
      <c r="R25" s="18"/>
      <c r="S25" s="20"/>
      <c r="T25" s="20"/>
      <c r="U25" s="20"/>
      <c r="W25" s="20"/>
      <c r="X25" s="20"/>
      <c r="AC25" s="20"/>
      <c r="AD25" s="20"/>
      <c r="AH25" s="16"/>
    </row>
    <row r="26" spans="1:216" s="13" customFormat="1" ht="15.6" x14ac:dyDescent="0.3">
      <c r="A26" s="135"/>
      <c r="B26" s="75"/>
      <c r="C26" s="147"/>
      <c r="D26" s="58"/>
      <c r="E26" s="58"/>
      <c r="F26" s="64" t="s">
        <v>27</v>
      </c>
      <c r="G26" s="11">
        <f t="shared" si="1"/>
        <v>373161.9</v>
      </c>
      <c r="H26" s="11">
        <f t="shared" si="2"/>
        <v>327302.40000000002</v>
      </c>
      <c r="I26" s="11">
        <f t="shared" si="4"/>
        <v>238832.5</v>
      </c>
      <c r="J26" s="11">
        <f t="shared" ref="J26:P27" si="5">J62+J124+J255+J407</f>
        <v>216576.5</v>
      </c>
      <c r="K26" s="11">
        <f t="shared" si="5"/>
        <v>416</v>
      </c>
      <c r="L26" s="11">
        <f t="shared" si="5"/>
        <v>416</v>
      </c>
      <c r="M26" s="11">
        <f t="shared" si="5"/>
        <v>98917.9</v>
      </c>
      <c r="N26" s="11">
        <f t="shared" si="5"/>
        <v>75314.399999999994</v>
      </c>
      <c r="O26" s="11">
        <f t="shared" si="5"/>
        <v>34995.5</v>
      </c>
      <c r="P26" s="11">
        <f t="shared" si="5"/>
        <v>34995.5</v>
      </c>
      <c r="Q26" s="145"/>
      <c r="R26" s="18"/>
      <c r="S26" s="21"/>
      <c r="T26" s="21"/>
      <c r="U26" s="21"/>
      <c r="W26" s="20"/>
      <c r="X26" s="20"/>
      <c r="AC26" s="20"/>
      <c r="AD26" s="20"/>
      <c r="AH26" s="16"/>
    </row>
    <row r="27" spans="1:216" s="13" customFormat="1" ht="15.6" x14ac:dyDescent="0.3">
      <c r="A27" s="135"/>
      <c r="B27" s="75"/>
      <c r="C27" s="147"/>
      <c r="D27" s="58"/>
      <c r="E27" s="58"/>
      <c r="F27" s="64" t="s">
        <v>28</v>
      </c>
      <c r="G27" s="11">
        <f t="shared" si="1"/>
        <v>395119.83999999997</v>
      </c>
      <c r="H27" s="11">
        <f t="shared" si="2"/>
        <v>357199.4699999998</v>
      </c>
      <c r="I27" s="11">
        <f t="shared" si="4"/>
        <v>262628.24000000005</v>
      </c>
      <c r="J27" s="11">
        <f t="shared" si="5"/>
        <v>239243.58999999991</v>
      </c>
      <c r="K27" s="11">
        <f t="shared" ref="K27:P27" si="6">K63+K125+K256+K408</f>
        <v>432.89999999999901</v>
      </c>
      <c r="L27" s="11">
        <f t="shared" si="6"/>
        <v>432.89999999999901</v>
      </c>
      <c r="M27" s="11">
        <f t="shared" si="6"/>
        <v>99416.200000000012</v>
      </c>
      <c r="N27" s="11">
        <f>N63+N125+N256+N408</f>
        <v>84880.48000000001</v>
      </c>
      <c r="O27" s="11">
        <f t="shared" si="6"/>
        <v>32642.499999999898</v>
      </c>
      <c r="P27" s="11">
        <f t="shared" si="6"/>
        <v>32642.499999999898</v>
      </c>
      <c r="Q27" s="145"/>
      <c r="R27" s="18"/>
      <c r="S27" s="21"/>
      <c r="T27" s="21"/>
      <c r="U27" s="21"/>
      <c r="V27" s="20"/>
      <c r="W27" s="20"/>
      <c r="X27" s="20"/>
      <c r="AC27" s="20"/>
      <c r="AD27" s="20"/>
      <c r="AH27" s="16"/>
    </row>
    <row r="28" spans="1:216" s="13" customFormat="1" ht="15.6" x14ac:dyDescent="0.3">
      <c r="A28" s="135"/>
      <c r="B28" s="75"/>
      <c r="C28" s="147"/>
      <c r="D28" s="58"/>
      <c r="E28" s="58"/>
      <c r="F28" s="64" t="s">
        <v>29</v>
      </c>
      <c r="G28" s="11">
        <f t="shared" si="1"/>
        <v>463518.15999999881</v>
      </c>
      <c r="H28" s="11">
        <f t="shared" si="2"/>
        <v>418157.5</v>
      </c>
      <c r="I28" s="11">
        <f t="shared" si="4"/>
        <v>286488.65999999887</v>
      </c>
      <c r="J28" s="11">
        <f t="shared" si="4"/>
        <v>241128.06</v>
      </c>
      <c r="K28" s="11">
        <f t="shared" si="4"/>
        <v>859.09999999999991</v>
      </c>
      <c r="L28" s="11">
        <f t="shared" si="4"/>
        <v>859.09999999999991</v>
      </c>
      <c r="M28" s="11">
        <f t="shared" si="4"/>
        <v>135238.79999999999</v>
      </c>
      <c r="N28" s="11">
        <f t="shared" si="4"/>
        <v>135238.74</v>
      </c>
      <c r="O28" s="11">
        <f t="shared" si="4"/>
        <v>40931.599999999999</v>
      </c>
      <c r="P28" s="11">
        <f t="shared" si="4"/>
        <v>40931.599999999999</v>
      </c>
      <c r="Q28" s="145"/>
      <c r="R28" s="18"/>
      <c r="S28" s="21">
        <f>J28-J361-J373-J385-J397+0.1</f>
        <v>227796.50000000003</v>
      </c>
      <c r="T28" s="21">
        <v>213361.4</v>
      </c>
      <c r="U28" s="21">
        <f t="shared" ref="U28:U29" si="7">T28-S28</f>
        <v>-14435.100000000035</v>
      </c>
      <c r="W28" s="20"/>
      <c r="X28" s="20"/>
      <c r="AC28" s="20"/>
      <c r="AD28" s="20"/>
      <c r="AH28" s="16"/>
      <c r="GC28" s="16"/>
      <c r="GE28" s="16"/>
    </row>
    <row r="29" spans="1:216" s="13" customFormat="1" ht="15.6" x14ac:dyDescent="0.3">
      <c r="A29" s="135"/>
      <c r="B29" s="75"/>
      <c r="C29" s="147"/>
      <c r="D29" s="58"/>
      <c r="E29" s="58"/>
      <c r="F29" s="64" t="s">
        <v>30</v>
      </c>
      <c r="G29" s="11">
        <f t="shared" si="1"/>
        <v>443810.9399999989</v>
      </c>
      <c r="H29" s="11">
        <f t="shared" si="2"/>
        <v>254130.39999999994</v>
      </c>
      <c r="I29" s="11">
        <f t="shared" si="4"/>
        <v>281684.29999999888</v>
      </c>
      <c r="J29" s="11">
        <f t="shared" si="4"/>
        <v>221515.59999999992</v>
      </c>
      <c r="K29" s="11">
        <f t="shared" si="4"/>
        <v>0</v>
      </c>
      <c r="L29" s="11">
        <f t="shared" si="4"/>
        <v>0</v>
      </c>
      <c r="M29" s="11">
        <f t="shared" si="4"/>
        <v>131767.54</v>
      </c>
      <c r="N29" s="11">
        <f t="shared" si="4"/>
        <v>2255.6999999999998</v>
      </c>
      <c r="O29" s="11">
        <f t="shared" si="4"/>
        <v>30359.1</v>
      </c>
      <c r="P29" s="11">
        <f t="shared" si="4"/>
        <v>30359.1</v>
      </c>
      <c r="Q29" s="145"/>
      <c r="R29" s="18"/>
      <c r="S29" s="21"/>
      <c r="T29" s="21">
        <v>199627.6</v>
      </c>
      <c r="U29" s="21">
        <f t="shared" si="7"/>
        <v>199627.6</v>
      </c>
      <c r="W29" s="20"/>
      <c r="X29" s="20"/>
      <c r="AC29" s="20"/>
      <c r="AD29" s="20"/>
      <c r="AH29" s="16"/>
    </row>
    <row r="30" spans="1:216" s="22" customFormat="1" ht="15.6" x14ac:dyDescent="0.3">
      <c r="A30" s="136"/>
      <c r="B30" s="76"/>
      <c r="C30" s="147"/>
      <c r="D30" s="59"/>
      <c r="E30" s="59"/>
      <c r="F30" s="64" t="s">
        <v>31</v>
      </c>
      <c r="G30" s="11">
        <f t="shared" si="1"/>
        <v>443810.9399999989</v>
      </c>
      <c r="H30" s="11">
        <f t="shared" si="2"/>
        <v>253560.39999999994</v>
      </c>
      <c r="I30" s="11">
        <f t="shared" si="4"/>
        <v>281684.29999999888</v>
      </c>
      <c r="J30" s="11">
        <f t="shared" si="4"/>
        <v>220945.59999999992</v>
      </c>
      <c r="K30" s="11">
        <f t="shared" si="4"/>
        <v>0</v>
      </c>
      <c r="L30" s="11">
        <f t="shared" si="4"/>
        <v>0</v>
      </c>
      <c r="M30" s="11">
        <f t="shared" si="4"/>
        <v>131767.54</v>
      </c>
      <c r="N30" s="11">
        <f t="shared" si="4"/>
        <v>2255.6999999999998</v>
      </c>
      <c r="O30" s="11">
        <f t="shared" si="4"/>
        <v>30359.1</v>
      </c>
      <c r="P30" s="11">
        <f t="shared" si="4"/>
        <v>30359.1</v>
      </c>
      <c r="Q30" s="146"/>
      <c r="R30" s="23"/>
      <c r="S30" s="24"/>
      <c r="T30" s="24"/>
      <c r="U30" s="24"/>
      <c r="AC30" s="24"/>
      <c r="AD30" s="24"/>
      <c r="AI30" s="25"/>
      <c r="GB30" s="13"/>
      <c r="GC30" s="16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</row>
    <row r="31" spans="1:216" s="13" customFormat="1" ht="13.2" customHeight="1" x14ac:dyDescent="0.3">
      <c r="A31" s="134"/>
      <c r="B31" s="74" t="s">
        <v>32</v>
      </c>
      <c r="C31" s="4"/>
      <c r="D31" s="4"/>
      <c r="E31" s="4"/>
      <c r="F31" s="59" t="s">
        <v>18</v>
      </c>
      <c r="G31" s="26">
        <f>SUM(G32:G42)</f>
        <v>2760386.1599999988</v>
      </c>
      <c r="H31" s="26">
        <f t="shared" ref="H31:P31" si="8">SUM(H32:H42)</f>
        <v>2442835.0399999996</v>
      </c>
      <c r="I31" s="26">
        <f t="shared" si="8"/>
        <v>1719744.44</v>
      </c>
      <c r="J31" s="26">
        <f t="shared" si="8"/>
        <v>1587189.9000000001</v>
      </c>
      <c r="K31" s="26">
        <f>SUM(K32:K42)</f>
        <v>7627.1</v>
      </c>
      <c r="L31" s="26">
        <f t="shared" si="8"/>
        <v>127.1</v>
      </c>
      <c r="M31" s="26">
        <f t="shared" si="8"/>
        <v>543111.21999999986</v>
      </c>
      <c r="N31" s="26">
        <f>SUM(N32:N42)</f>
        <v>365614.6399999999</v>
      </c>
      <c r="O31" s="26">
        <f t="shared" si="8"/>
        <v>489903.39999999973</v>
      </c>
      <c r="P31" s="26">
        <f t="shared" si="8"/>
        <v>489903.39999999973</v>
      </c>
      <c r="Q31" s="137" t="s">
        <v>33</v>
      </c>
      <c r="R31" s="18"/>
      <c r="T31" s="20"/>
      <c r="U31" s="20"/>
      <c r="AC31" s="20"/>
    </row>
    <row r="32" spans="1:216" s="13" customFormat="1" ht="24" customHeight="1" x14ac:dyDescent="0.3">
      <c r="A32" s="135"/>
      <c r="B32" s="75"/>
      <c r="F32" s="64" t="s">
        <v>20</v>
      </c>
      <c r="G32" s="11">
        <f t="shared" ref="G32:G42" si="9">I32+K32+M32+O32</f>
        <v>180341.6</v>
      </c>
      <c r="H32" s="11">
        <f t="shared" ref="H32:H42" si="10">J32+L32+N32+P32</f>
        <v>162018.30000000002</v>
      </c>
      <c r="I32" s="11">
        <f t="shared" ref="I32:P42" si="11">I161</f>
        <v>116756.20000000001</v>
      </c>
      <c r="J32" s="11">
        <f t="shared" ref="J32:P32" si="12">J161</f>
        <v>104347.90000000001</v>
      </c>
      <c r="K32" s="11">
        <f t="shared" si="12"/>
        <v>2500</v>
      </c>
      <c r="L32" s="11">
        <f t="shared" si="12"/>
        <v>0</v>
      </c>
      <c r="M32" s="11">
        <f t="shared" si="12"/>
        <v>27766.9</v>
      </c>
      <c r="N32" s="11">
        <f t="shared" si="12"/>
        <v>24351.9</v>
      </c>
      <c r="O32" s="11">
        <f t="shared" si="12"/>
        <v>33318.5</v>
      </c>
      <c r="P32" s="11">
        <f t="shared" si="12"/>
        <v>33318.5</v>
      </c>
      <c r="Q32" s="137"/>
      <c r="R32" s="15"/>
    </row>
    <row r="33" spans="1:29" s="13" customFormat="1" ht="23.4" customHeight="1" x14ac:dyDescent="0.3">
      <c r="A33" s="135"/>
      <c r="B33" s="75"/>
      <c r="C33" s="84" t="s">
        <v>34</v>
      </c>
      <c r="D33" s="57"/>
      <c r="E33" s="57"/>
      <c r="F33" s="64" t="s">
        <v>22</v>
      </c>
      <c r="G33" s="11">
        <f t="shared" si="9"/>
        <v>181324.74</v>
      </c>
      <c r="H33" s="11">
        <f t="shared" si="10"/>
        <v>173599.8</v>
      </c>
      <c r="I33" s="11">
        <f t="shared" si="11"/>
        <v>111578.54000000001</v>
      </c>
      <c r="J33" s="11">
        <f t="shared" si="11"/>
        <v>109904.6</v>
      </c>
      <c r="K33" s="11">
        <f t="shared" si="11"/>
        <v>2500</v>
      </c>
      <c r="L33" s="11">
        <f t="shared" si="11"/>
        <v>0</v>
      </c>
      <c r="M33" s="11">
        <f t="shared" si="11"/>
        <v>28121.9</v>
      </c>
      <c r="N33" s="11">
        <f t="shared" si="11"/>
        <v>24570.9</v>
      </c>
      <c r="O33" s="11">
        <f t="shared" si="11"/>
        <v>39124.300000000003</v>
      </c>
      <c r="P33" s="11">
        <f t="shared" si="11"/>
        <v>39124.300000000003</v>
      </c>
      <c r="Q33" s="137"/>
      <c r="R33" s="18"/>
    </row>
    <row r="34" spans="1:29" s="13" customFormat="1" ht="13.2" customHeight="1" x14ac:dyDescent="0.3">
      <c r="A34" s="135"/>
      <c r="B34" s="75"/>
      <c r="C34" s="84"/>
      <c r="D34" s="58"/>
      <c r="E34" s="58"/>
      <c r="F34" s="64" t="s">
        <v>23</v>
      </c>
      <c r="G34" s="11">
        <f t="shared" si="9"/>
        <v>197720.4999999998</v>
      </c>
      <c r="H34" s="11">
        <f t="shared" si="10"/>
        <v>188559.4999999998</v>
      </c>
      <c r="I34" s="11">
        <f t="shared" si="11"/>
        <v>113801.60000000001</v>
      </c>
      <c r="J34" s="11">
        <f t="shared" si="11"/>
        <v>110275.6</v>
      </c>
      <c r="K34" s="11">
        <f t="shared" si="11"/>
        <v>2500</v>
      </c>
      <c r="L34" s="11">
        <f t="shared" si="11"/>
        <v>0</v>
      </c>
      <c r="M34" s="11">
        <f t="shared" si="11"/>
        <v>40223.799999999901</v>
      </c>
      <c r="N34" s="11">
        <f t="shared" si="11"/>
        <v>37088.799999999901</v>
      </c>
      <c r="O34" s="11">
        <f t="shared" si="11"/>
        <v>41195.099999999897</v>
      </c>
      <c r="P34" s="11">
        <f t="shared" si="11"/>
        <v>41195.099999999897</v>
      </c>
      <c r="Q34" s="137"/>
      <c r="R34" s="18"/>
    </row>
    <row r="35" spans="1:29" s="13" customFormat="1" ht="19.2" customHeight="1" x14ac:dyDescent="0.3">
      <c r="A35" s="135"/>
      <c r="B35" s="75"/>
      <c r="C35" s="84"/>
      <c r="D35" s="58"/>
      <c r="E35" s="58"/>
      <c r="F35" s="64" t="s">
        <v>24</v>
      </c>
      <c r="G35" s="11">
        <f t="shared" si="9"/>
        <v>221087.6</v>
      </c>
      <c r="H35" s="11">
        <f t="shared" si="10"/>
        <v>217736.5</v>
      </c>
      <c r="I35" s="11">
        <f t="shared" si="11"/>
        <v>127114.9</v>
      </c>
      <c r="J35" s="11">
        <f t="shared" si="11"/>
        <v>123763.8</v>
      </c>
      <c r="K35" s="11">
        <f t="shared" si="11"/>
        <v>127.1</v>
      </c>
      <c r="L35" s="11">
        <f t="shared" si="11"/>
        <v>127.1</v>
      </c>
      <c r="M35" s="11">
        <f t="shared" si="11"/>
        <v>47521.100000000006</v>
      </c>
      <c r="N35" s="11">
        <f t="shared" si="11"/>
        <v>47521.100000000006</v>
      </c>
      <c r="O35" s="11">
        <f t="shared" si="11"/>
        <v>46324.5</v>
      </c>
      <c r="P35" s="11">
        <f t="shared" si="11"/>
        <v>46324.5</v>
      </c>
      <c r="Q35" s="137"/>
      <c r="R35" s="18"/>
    </row>
    <row r="36" spans="1:29" s="13" customFormat="1" ht="15.6" x14ac:dyDescent="0.3">
      <c r="A36" s="135"/>
      <c r="B36" s="75"/>
      <c r="C36" s="84"/>
      <c r="D36" s="58"/>
      <c r="E36" s="58"/>
      <c r="F36" s="64" t="s">
        <v>25</v>
      </c>
      <c r="G36" s="11">
        <f t="shared" si="9"/>
        <v>228198.6</v>
      </c>
      <c r="H36" s="11">
        <f t="shared" si="10"/>
        <v>221491.20000000001</v>
      </c>
      <c r="I36" s="11">
        <f t="shared" si="11"/>
        <v>132875.20000000001</v>
      </c>
      <c r="J36" s="11">
        <f t="shared" si="11"/>
        <v>129803</v>
      </c>
      <c r="K36" s="11">
        <f t="shared" si="11"/>
        <v>0</v>
      </c>
      <c r="L36" s="11">
        <f t="shared" si="11"/>
        <v>0</v>
      </c>
      <c r="M36" s="11">
        <f t="shared" si="11"/>
        <v>47747.8</v>
      </c>
      <c r="N36" s="11">
        <f t="shared" si="11"/>
        <v>44112.6</v>
      </c>
      <c r="O36" s="11">
        <f t="shared" si="11"/>
        <v>47575.6</v>
      </c>
      <c r="P36" s="11">
        <f t="shared" si="11"/>
        <v>47575.6</v>
      </c>
      <c r="Q36" s="137"/>
      <c r="R36" s="18"/>
      <c r="Y36" s="16"/>
    </row>
    <row r="37" spans="1:29" s="13" customFormat="1" ht="13.2" customHeight="1" x14ac:dyDescent="0.3">
      <c r="A37" s="135"/>
      <c r="B37" s="75"/>
      <c r="C37" s="84"/>
      <c r="D37" s="58"/>
      <c r="E37" s="58"/>
      <c r="F37" s="64" t="s">
        <v>26</v>
      </c>
      <c r="G37" s="11">
        <f t="shared" si="9"/>
        <v>245881.99999999988</v>
      </c>
      <c r="H37" s="11">
        <f t="shared" si="10"/>
        <v>221168.1999999999</v>
      </c>
      <c r="I37" s="11">
        <f t="shared" si="11"/>
        <v>158241</v>
      </c>
      <c r="J37" s="11">
        <f t="shared" si="11"/>
        <v>151378</v>
      </c>
      <c r="K37" s="11">
        <f t="shared" si="11"/>
        <v>0</v>
      </c>
      <c r="L37" s="11">
        <f t="shared" si="11"/>
        <v>0</v>
      </c>
      <c r="M37" s="11">
        <f t="shared" si="11"/>
        <v>47747.8</v>
      </c>
      <c r="N37" s="11">
        <f t="shared" si="11"/>
        <v>29897</v>
      </c>
      <c r="O37" s="11">
        <f t="shared" si="11"/>
        <v>39893.199999999903</v>
      </c>
      <c r="P37" s="11">
        <f t="shared" si="11"/>
        <v>39893.199999999903</v>
      </c>
      <c r="Q37" s="137"/>
      <c r="R37" s="18"/>
      <c r="Y37" s="16"/>
      <c r="Z37" s="16"/>
    </row>
    <row r="38" spans="1:29" s="13" customFormat="1" ht="13.2" customHeight="1" x14ac:dyDescent="0.3">
      <c r="A38" s="135"/>
      <c r="B38" s="75"/>
      <c r="C38" s="84"/>
      <c r="D38" s="58"/>
      <c r="E38" s="58"/>
      <c r="F38" s="64" t="s">
        <v>27</v>
      </c>
      <c r="G38" s="11">
        <f t="shared" si="9"/>
        <v>254386.3</v>
      </c>
      <c r="H38" s="11">
        <f t="shared" si="10"/>
        <v>236225.5</v>
      </c>
      <c r="I38" s="11">
        <f t="shared" si="11"/>
        <v>158241</v>
      </c>
      <c r="J38" s="11">
        <f t="shared" ref="J38:P38" si="13">J167</f>
        <v>148675.70000000001</v>
      </c>
      <c r="K38" s="11">
        <f t="shared" si="13"/>
        <v>0</v>
      </c>
      <c r="L38" s="11">
        <f t="shared" si="13"/>
        <v>0</v>
      </c>
      <c r="M38" s="11">
        <f t="shared" si="13"/>
        <v>47747.8</v>
      </c>
      <c r="N38" s="11">
        <f t="shared" si="13"/>
        <v>39152.300000000003</v>
      </c>
      <c r="O38" s="11">
        <f t="shared" si="13"/>
        <v>48397.5</v>
      </c>
      <c r="P38" s="11">
        <f t="shared" si="13"/>
        <v>48397.5</v>
      </c>
      <c r="Q38" s="137"/>
      <c r="R38" s="18"/>
      <c r="Y38" s="16"/>
    </row>
    <row r="39" spans="1:29" s="13" customFormat="1" ht="13.2" customHeight="1" x14ac:dyDescent="0.3">
      <c r="A39" s="135"/>
      <c r="B39" s="75"/>
      <c r="C39" s="84"/>
      <c r="D39" s="58"/>
      <c r="E39" s="27"/>
      <c r="F39" s="64" t="s">
        <v>28</v>
      </c>
      <c r="G39" s="11">
        <f t="shared" si="9"/>
        <v>284675.49999999988</v>
      </c>
      <c r="H39" s="11">
        <f t="shared" si="10"/>
        <v>270895.39999999991</v>
      </c>
      <c r="I39" s="11">
        <f t="shared" si="11"/>
        <v>181672</v>
      </c>
      <c r="J39" s="11">
        <f t="shared" si="11"/>
        <v>176556.1</v>
      </c>
      <c r="K39" s="11">
        <f t="shared" si="11"/>
        <v>0</v>
      </c>
      <c r="L39" s="11">
        <f t="shared" si="11"/>
        <v>0</v>
      </c>
      <c r="M39" s="11">
        <f t="shared" si="11"/>
        <v>47747.8</v>
      </c>
      <c r="N39" s="11">
        <f t="shared" si="11"/>
        <v>39083.599999999999</v>
      </c>
      <c r="O39" s="11">
        <f t="shared" si="11"/>
        <v>55255.699999999903</v>
      </c>
      <c r="P39" s="11">
        <f t="shared" si="11"/>
        <v>55255.699999999903</v>
      </c>
      <c r="Q39" s="137"/>
      <c r="R39" s="18"/>
      <c r="Y39" s="16"/>
    </row>
    <row r="40" spans="1:29" s="13" customFormat="1" ht="12.75" customHeight="1" x14ac:dyDescent="0.3">
      <c r="A40" s="135"/>
      <c r="B40" s="75"/>
      <c r="C40" s="84"/>
      <c r="D40" s="58"/>
      <c r="E40" s="58"/>
      <c r="F40" s="64" t="s">
        <v>29</v>
      </c>
      <c r="G40" s="11">
        <f t="shared" si="9"/>
        <v>326736.83999999997</v>
      </c>
      <c r="H40" s="11">
        <f t="shared" si="10"/>
        <v>300977.44</v>
      </c>
      <c r="I40" s="11">
        <f t="shared" si="11"/>
        <v>206487.99999999991</v>
      </c>
      <c r="J40" s="11">
        <f t="shared" si="11"/>
        <v>180728.6</v>
      </c>
      <c r="K40" s="11">
        <f t="shared" si="11"/>
        <v>0</v>
      </c>
      <c r="L40" s="11">
        <f t="shared" si="11"/>
        <v>0</v>
      </c>
      <c r="M40" s="11">
        <f t="shared" si="11"/>
        <v>69495.44</v>
      </c>
      <c r="N40" s="11">
        <f t="shared" si="11"/>
        <v>69495.44</v>
      </c>
      <c r="O40" s="11">
        <f t="shared" si="11"/>
        <v>50753.4</v>
      </c>
      <c r="P40" s="11">
        <f t="shared" si="11"/>
        <v>50753.4</v>
      </c>
      <c r="Q40" s="137"/>
      <c r="R40" s="18"/>
    </row>
    <row r="41" spans="1:29" s="13" customFormat="1" ht="13.2" customHeight="1" x14ac:dyDescent="0.3">
      <c r="A41" s="135"/>
      <c r="B41" s="75"/>
      <c r="C41" s="84"/>
      <c r="D41" s="58"/>
      <c r="E41" s="58"/>
      <c r="F41" s="64" t="s">
        <v>30</v>
      </c>
      <c r="G41" s="11">
        <f t="shared" si="9"/>
        <v>320016.23999999993</v>
      </c>
      <c r="H41" s="11">
        <f t="shared" si="10"/>
        <v>225081.60000000003</v>
      </c>
      <c r="I41" s="11">
        <f t="shared" si="11"/>
        <v>206487.99999999991</v>
      </c>
      <c r="J41" s="11">
        <f t="shared" si="11"/>
        <v>175878.30000000002</v>
      </c>
      <c r="K41" s="11">
        <f t="shared" si="11"/>
        <v>0</v>
      </c>
      <c r="L41" s="11">
        <f t="shared" si="11"/>
        <v>0</v>
      </c>
      <c r="M41" s="11">
        <f t="shared" si="11"/>
        <v>69495.44</v>
      </c>
      <c r="N41" s="11">
        <f t="shared" si="11"/>
        <v>5170.5</v>
      </c>
      <c r="O41" s="11">
        <f t="shared" si="11"/>
        <v>44032.800000000003</v>
      </c>
      <c r="P41" s="11">
        <f t="shared" si="11"/>
        <v>44032.800000000003</v>
      </c>
      <c r="Q41" s="137"/>
      <c r="R41" s="18"/>
    </row>
    <row r="42" spans="1:29" s="13" customFormat="1" ht="31.95" customHeight="1" x14ac:dyDescent="0.3">
      <c r="A42" s="136"/>
      <c r="B42" s="76"/>
      <c r="C42" s="84"/>
      <c r="D42" s="59"/>
      <c r="E42" s="59"/>
      <c r="F42" s="64" t="s">
        <v>31</v>
      </c>
      <c r="G42" s="11">
        <f t="shared" si="9"/>
        <v>320016.23999999993</v>
      </c>
      <c r="H42" s="11">
        <f t="shared" si="10"/>
        <v>225081.60000000003</v>
      </c>
      <c r="I42" s="11">
        <f t="shared" si="11"/>
        <v>206487.99999999991</v>
      </c>
      <c r="J42" s="11">
        <f t="shared" si="11"/>
        <v>175878.30000000002</v>
      </c>
      <c r="K42" s="11">
        <f t="shared" si="11"/>
        <v>0</v>
      </c>
      <c r="L42" s="11">
        <f t="shared" si="11"/>
        <v>0</v>
      </c>
      <c r="M42" s="11">
        <f t="shared" si="11"/>
        <v>69495.44</v>
      </c>
      <c r="N42" s="11">
        <f t="shared" si="11"/>
        <v>5170.5</v>
      </c>
      <c r="O42" s="11">
        <f t="shared" si="11"/>
        <v>44032.800000000003</v>
      </c>
      <c r="P42" s="11">
        <f t="shared" si="11"/>
        <v>44032.800000000003</v>
      </c>
      <c r="Q42" s="137"/>
      <c r="R42" s="18"/>
    </row>
    <row r="43" spans="1:29" s="13" customFormat="1" ht="13.2" customHeight="1" x14ac:dyDescent="0.3">
      <c r="A43" s="134"/>
      <c r="B43" s="74" t="s">
        <v>35</v>
      </c>
      <c r="C43" s="4"/>
      <c r="D43" s="138"/>
      <c r="E43" s="140"/>
      <c r="F43" s="64" t="s">
        <v>18</v>
      </c>
      <c r="G43" s="11">
        <f>SUM(G44:G54)</f>
        <v>45550.8</v>
      </c>
      <c r="H43" s="11">
        <f t="shared" ref="H43:P43" si="14">SUM(H44:H54)</f>
        <v>15290.8</v>
      </c>
      <c r="I43" s="11">
        <f t="shared" si="14"/>
        <v>5532.8</v>
      </c>
      <c r="J43" s="11">
        <f t="shared" si="14"/>
        <v>272.8</v>
      </c>
      <c r="K43" s="11">
        <f t="shared" si="14"/>
        <v>39867.5</v>
      </c>
      <c r="L43" s="11">
        <f t="shared" si="14"/>
        <v>14867.5</v>
      </c>
      <c r="M43" s="11">
        <f t="shared" si="14"/>
        <v>150.5</v>
      </c>
      <c r="N43" s="11">
        <f t="shared" si="14"/>
        <v>150.5</v>
      </c>
      <c r="O43" s="11">
        <f t="shared" si="14"/>
        <v>0</v>
      </c>
      <c r="P43" s="11">
        <f t="shared" si="14"/>
        <v>0</v>
      </c>
      <c r="Q43" s="137" t="s">
        <v>33</v>
      </c>
      <c r="R43" s="18"/>
      <c r="T43" s="20"/>
      <c r="U43" s="20"/>
      <c r="AC43" s="20"/>
    </row>
    <row r="44" spans="1:29" s="13" customFormat="1" ht="24" hidden="1" customHeight="1" x14ac:dyDescent="0.3">
      <c r="A44" s="135"/>
      <c r="B44" s="75"/>
      <c r="D44" s="139"/>
      <c r="E44" s="141"/>
      <c r="F44" s="64" t="s">
        <v>20</v>
      </c>
      <c r="G44" s="11">
        <f t="shared" ref="G44:G54" si="15">I44+K44+M44+O44</f>
        <v>0</v>
      </c>
      <c r="H44" s="11">
        <f t="shared" ref="H44:H54" si="16">J44+L44+N44+P44</f>
        <v>0</v>
      </c>
      <c r="I44" s="11"/>
      <c r="J44" s="11"/>
      <c r="K44" s="11"/>
      <c r="L44" s="11"/>
      <c r="M44" s="11"/>
      <c r="N44" s="11"/>
      <c r="O44" s="11"/>
      <c r="P44" s="11"/>
      <c r="Q44" s="137"/>
      <c r="R44" s="15"/>
    </row>
    <row r="45" spans="1:29" s="13" customFormat="1" ht="23.4" hidden="1" customHeight="1" x14ac:dyDescent="0.3">
      <c r="A45" s="135"/>
      <c r="B45" s="75"/>
      <c r="C45" s="74" t="s">
        <v>36</v>
      </c>
      <c r="D45" s="139"/>
      <c r="E45" s="141"/>
      <c r="F45" s="64" t="s">
        <v>22</v>
      </c>
      <c r="G45" s="11">
        <f t="shared" si="15"/>
        <v>0</v>
      </c>
      <c r="H45" s="11">
        <f t="shared" si="16"/>
        <v>0</v>
      </c>
      <c r="I45" s="11"/>
      <c r="J45" s="11"/>
      <c r="K45" s="11"/>
      <c r="L45" s="11"/>
      <c r="M45" s="11"/>
      <c r="N45" s="11"/>
      <c r="O45" s="11"/>
      <c r="P45" s="11"/>
      <c r="Q45" s="137"/>
      <c r="R45" s="18"/>
    </row>
    <row r="46" spans="1:29" s="13" customFormat="1" ht="13.2" hidden="1" customHeight="1" x14ac:dyDescent="0.3">
      <c r="A46" s="135"/>
      <c r="B46" s="75"/>
      <c r="C46" s="75"/>
      <c r="D46" s="139"/>
      <c r="E46" s="141"/>
      <c r="F46" s="64" t="s">
        <v>23</v>
      </c>
      <c r="G46" s="11">
        <f t="shared" si="15"/>
        <v>0</v>
      </c>
      <c r="H46" s="11">
        <f t="shared" si="16"/>
        <v>0</v>
      </c>
      <c r="I46" s="11"/>
      <c r="J46" s="11"/>
      <c r="K46" s="11"/>
      <c r="L46" s="11"/>
      <c r="M46" s="11"/>
      <c r="N46" s="11"/>
      <c r="O46" s="11"/>
      <c r="P46" s="11"/>
      <c r="Q46" s="137"/>
      <c r="R46" s="18"/>
    </row>
    <row r="47" spans="1:29" s="13" customFormat="1" ht="19.2" hidden="1" customHeight="1" x14ac:dyDescent="0.3">
      <c r="A47" s="135"/>
      <c r="B47" s="75"/>
      <c r="C47" s="75"/>
      <c r="D47" s="139"/>
      <c r="E47" s="141"/>
      <c r="F47" s="64" t="s">
        <v>24</v>
      </c>
      <c r="G47" s="11">
        <f t="shared" si="15"/>
        <v>0</v>
      </c>
      <c r="H47" s="11">
        <f t="shared" si="16"/>
        <v>0</v>
      </c>
      <c r="I47" s="11"/>
      <c r="J47" s="11"/>
      <c r="K47" s="11"/>
      <c r="L47" s="11"/>
      <c r="M47" s="11"/>
      <c r="N47" s="11"/>
      <c r="O47" s="11"/>
      <c r="P47" s="11"/>
      <c r="Q47" s="137"/>
      <c r="R47" s="18"/>
    </row>
    <row r="48" spans="1:29" s="13" customFormat="1" ht="13.2" customHeight="1" x14ac:dyDescent="0.3">
      <c r="A48" s="135"/>
      <c r="B48" s="75"/>
      <c r="C48" s="75"/>
      <c r="D48" s="139"/>
      <c r="E48" s="141"/>
      <c r="F48" s="64" t="s">
        <v>25</v>
      </c>
      <c r="G48" s="11">
        <f t="shared" si="15"/>
        <v>5000</v>
      </c>
      <c r="H48" s="11">
        <f t="shared" si="16"/>
        <v>5000</v>
      </c>
      <c r="I48" s="11">
        <f t="shared" ref="I48:P54" si="17">I464</f>
        <v>0</v>
      </c>
      <c r="J48" s="11">
        <f t="shared" si="17"/>
        <v>0</v>
      </c>
      <c r="K48" s="11">
        <f t="shared" si="17"/>
        <v>5000</v>
      </c>
      <c r="L48" s="11">
        <f t="shared" si="17"/>
        <v>5000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37"/>
      <c r="R48" s="18"/>
    </row>
    <row r="49" spans="1:185" s="13" customFormat="1" ht="13.2" customHeight="1" x14ac:dyDescent="0.3">
      <c r="A49" s="135"/>
      <c r="B49" s="75"/>
      <c r="C49" s="75"/>
      <c r="D49" s="139"/>
      <c r="E49" s="141"/>
      <c r="F49" s="64" t="s">
        <v>26</v>
      </c>
      <c r="G49" s="11">
        <f t="shared" si="15"/>
        <v>5260</v>
      </c>
      <c r="H49" s="11">
        <f t="shared" si="16"/>
        <v>0</v>
      </c>
      <c r="I49" s="11">
        <f t="shared" si="17"/>
        <v>260</v>
      </c>
      <c r="J49" s="11">
        <f t="shared" si="17"/>
        <v>0</v>
      </c>
      <c r="K49" s="11">
        <f t="shared" si="17"/>
        <v>5000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37"/>
      <c r="R49" s="18"/>
    </row>
    <row r="50" spans="1:185" s="13" customFormat="1" ht="13.2" customHeight="1" x14ac:dyDescent="0.3">
      <c r="A50" s="135"/>
      <c r="B50" s="75"/>
      <c r="C50" s="75"/>
      <c r="D50" s="139"/>
      <c r="E50" s="141"/>
      <c r="F50" s="64" t="s">
        <v>27</v>
      </c>
      <c r="G50" s="11">
        <f t="shared" si="15"/>
        <v>6000</v>
      </c>
      <c r="H50" s="11">
        <f t="shared" si="16"/>
        <v>5000</v>
      </c>
      <c r="I50" s="11">
        <f t="shared" si="17"/>
        <v>1000</v>
      </c>
      <c r="J50" s="11">
        <f t="shared" si="17"/>
        <v>0</v>
      </c>
      <c r="K50" s="11">
        <f t="shared" si="17"/>
        <v>5000</v>
      </c>
      <c r="L50" s="11">
        <f t="shared" si="17"/>
        <v>5000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37"/>
      <c r="R50" s="18"/>
    </row>
    <row r="51" spans="1:185" s="13" customFormat="1" ht="24.6" customHeight="1" x14ac:dyDescent="0.3">
      <c r="A51" s="135"/>
      <c r="B51" s="75"/>
      <c r="C51" s="75"/>
      <c r="D51" s="139"/>
      <c r="E51" s="141"/>
      <c r="F51" s="64" t="s">
        <v>28</v>
      </c>
      <c r="G51" s="11">
        <f t="shared" si="15"/>
        <v>6000</v>
      </c>
      <c r="H51" s="11">
        <f t="shared" si="16"/>
        <v>0</v>
      </c>
      <c r="I51" s="11">
        <f t="shared" si="17"/>
        <v>1000</v>
      </c>
      <c r="J51" s="11">
        <f t="shared" si="17"/>
        <v>0</v>
      </c>
      <c r="K51" s="11">
        <f t="shared" si="17"/>
        <v>5000</v>
      </c>
      <c r="L51" s="11">
        <f t="shared" si="17"/>
        <v>0</v>
      </c>
      <c r="M51" s="11">
        <f t="shared" si="17"/>
        <v>0</v>
      </c>
      <c r="N51" s="11">
        <f t="shared" si="17"/>
        <v>0</v>
      </c>
      <c r="O51" s="11">
        <f t="shared" si="17"/>
        <v>0</v>
      </c>
      <c r="P51" s="11">
        <f t="shared" si="17"/>
        <v>0</v>
      </c>
      <c r="Q51" s="137"/>
      <c r="R51" s="18"/>
    </row>
    <row r="52" spans="1:185" s="13" customFormat="1" ht="16.2" customHeight="1" x14ac:dyDescent="0.3">
      <c r="A52" s="135"/>
      <c r="B52" s="75"/>
      <c r="C52" s="75"/>
      <c r="D52" s="139"/>
      <c r="E52" s="141"/>
      <c r="F52" s="64" t="s">
        <v>29</v>
      </c>
      <c r="G52" s="11">
        <f>I52+K52+M52+O52</f>
        <v>11290.8</v>
      </c>
      <c r="H52" s="11">
        <f t="shared" si="16"/>
        <v>5290.8</v>
      </c>
      <c r="I52" s="11">
        <f>I468+I492</f>
        <v>1272.8</v>
      </c>
      <c r="J52" s="11">
        <f t="shared" ref="J52:P52" si="18">J468+J492</f>
        <v>272.8</v>
      </c>
      <c r="K52" s="11">
        <f t="shared" si="18"/>
        <v>9867.5</v>
      </c>
      <c r="L52" s="11">
        <f t="shared" si="18"/>
        <v>4867.5</v>
      </c>
      <c r="M52" s="11">
        <f t="shared" si="18"/>
        <v>150.5</v>
      </c>
      <c r="N52" s="11">
        <f t="shared" si="18"/>
        <v>150.5</v>
      </c>
      <c r="O52" s="11">
        <f t="shared" si="18"/>
        <v>0</v>
      </c>
      <c r="P52" s="11">
        <f t="shared" si="18"/>
        <v>0</v>
      </c>
      <c r="Q52" s="137"/>
      <c r="R52" s="18"/>
    </row>
    <row r="53" spans="1:185" s="13" customFormat="1" ht="15.6" x14ac:dyDescent="0.3">
      <c r="A53" s="135"/>
      <c r="B53" s="75"/>
      <c r="C53" s="75"/>
      <c r="D53" s="139"/>
      <c r="E53" s="141"/>
      <c r="F53" s="64" t="s">
        <v>30</v>
      </c>
      <c r="G53" s="11">
        <f t="shared" si="15"/>
        <v>6000</v>
      </c>
      <c r="H53" s="11">
        <f t="shared" si="16"/>
        <v>0</v>
      </c>
      <c r="I53" s="11">
        <f t="shared" si="17"/>
        <v>1000</v>
      </c>
      <c r="J53" s="11">
        <f t="shared" si="17"/>
        <v>0</v>
      </c>
      <c r="K53" s="11">
        <f t="shared" si="17"/>
        <v>5000</v>
      </c>
      <c r="L53" s="11">
        <f t="shared" si="17"/>
        <v>0</v>
      </c>
      <c r="M53" s="11">
        <f t="shared" si="17"/>
        <v>0</v>
      </c>
      <c r="N53" s="11">
        <f t="shared" si="17"/>
        <v>0</v>
      </c>
      <c r="O53" s="11">
        <f t="shared" si="17"/>
        <v>0</v>
      </c>
      <c r="P53" s="11">
        <f t="shared" si="17"/>
        <v>0</v>
      </c>
      <c r="Q53" s="137"/>
      <c r="R53" s="18"/>
    </row>
    <row r="54" spans="1:185" s="13" customFormat="1" ht="40.200000000000003" customHeight="1" x14ac:dyDescent="0.3">
      <c r="A54" s="136"/>
      <c r="B54" s="76"/>
      <c r="C54" s="76"/>
      <c r="D54" s="139"/>
      <c r="E54" s="142"/>
      <c r="F54" s="64" t="s">
        <v>31</v>
      </c>
      <c r="G54" s="11">
        <f t="shared" si="15"/>
        <v>6000</v>
      </c>
      <c r="H54" s="11">
        <f t="shared" si="16"/>
        <v>0</v>
      </c>
      <c r="I54" s="11">
        <f t="shared" si="17"/>
        <v>1000</v>
      </c>
      <c r="J54" s="11">
        <f t="shared" si="17"/>
        <v>0</v>
      </c>
      <c r="K54" s="11">
        <f t="shared" si="17"/>
        <v>5000</v>
      </c>
      <c r="L54" s="11">
        <f t="shared" si="17"/>
        <v>0</v>
      </c>
      <c r="M54" s="11">
        <f t="shared" si="17"/>
        <v>0</v>
      </c>
      <c r="N54" s="11">
        <f t="shared" si="17"/>
        <v>0</v>
      </c>
      <c r="O54" s="11">
        <f t="shared" si="17"/>
        <v>0</v>
      </c>
      <c r="P54" s="11">
        <f t="shared" si="17"/>
        <v>0</v>
      </c>
      <c r="Q54" s="137"/>
      <c r="R54" s="18"/>
    </row>
    <row r="55" spans="1:185" s="13" customFormat="1" ht="15.6" x14ac:dyDescent="0.3">
      <c r="A55" s="79" t="s">
        <v>37</v>
      </c>
      <c r="B55" s="65" t="s">
        <v>38</v>
      </c>
      <c r="F55" s="64" t="s">
        <v>18</v>
      </c>
      <c r="G55" s="11">
        <f>SUM(G56:G66)</f>
        <v>1386375.7929999991</v>
      </c>
      <c r="H55" s="11">
        <f t="shared" ref="H55:P55" si="19">SUM(H56:H66)</f>
        <v>1128869.6429999995</v>
      </c>
      <c r="I55" s="11">
        <f t="shared" si="19"/>
        <v>870983.04999999946</v>
      </c>
      <c r="J55" s="11">
        <f t="shared" si="19"/>
        <v>782736.21999999951</v>
      </c>
      <c r="K55" s="11">
        <f t="shared" si="19"/>
        <v>2976.3999999999992</v>
      </c>
      <c r="L55" s="11">
        <f t="shared" si="19"/>
        <v>1238.599999999999</v>
      </c>
      <c r="M55" s="11">
        <f t="shared" si="19"/>
        <v>498094.04299999989</v>
      </c>
      <c r="N55" s="11">
        <f t="shared" si="19"/>
        <v>330572.52299999981</v>
      </c>
      <c r="O55" s="11">
        <f t="shared" si="19"/>
        <v>14322.29999999999</v>
      </c>
      <c r="P55" s="11">
        <f t="shared" si="19"/>
        <v>14322.29999999999</v>
      </c>
      <c r="Q55" s="94" t="s">
        <v>33</v>
      </c>
      <c r="R55" s="18"/>
    </row>
    <row r="56" spans="1:185" s="13" customFormat="1" ht="42.75" customHeight="1" x14ac:dyDescent="0.3">
      <c r="A56" s="80"/>
      <c r="B56" s="85" t="s">
        <v>39</v>
      </c>
      <c r="C56" s="64" t="s">
        <v>40</v>
      </c>
      <c r="D56" s="74"/>
      <c r="E56" s="74"/>
      <c r="F56" s="64" t="s">
        <v>20</v>
      </c>
      <c r="G56" s="11">
        <f>I56+K56+M56+O56</f>
        <v>94910.099999999904</v>
      </c>
      <c r="H56" s="11">
        <f t="shared" ref="G56:H60" si="20">J56+L56+N56+P56</f>
        <v>73905.999999999898</v>
      </c>
      <c r="I56" s="11">
        <f t="shared" ref="I56:I61" si="21">I68+I80+I94+I106</f>
        <v>71330.299999999901</v>
      </c>
      <c r="J56" s="11">
        <f>J68+J80+J94+J106</f>
        <v>53230.199999999895</v>
      </c>
      <c r="K56" s="11">
        <f t="shared" ref="K56:P61" si="22">K68+K80+K94</f>
        <v>525</v>
      </c>
      <c r="L56" s="11">
        <f t="shared" si="22"/>
        <v>0</v>
      </c>
      <c r="M56" s="11">
        <f t="shared" si="22"/>
        <v>21964.3</v>
      </c>
      <c r="N56" s="11">
        <f t="shared" si="22"/>
        <v>19585.3</v>
      </c>
      <c r="O56" s="11">
        <f t="shared" si="22"/>
        <v>1090.5</v>
      </c>
      <c r="P56" s="11">
        <f t="shared" si="22"/>
        <v>1090.5</v>
      </c>
      <c r="Q56" s="95"/>
      <c r="R56" s="15"/>
    </row>
    <row r="57" spans="1:185" s="13" customFormat="1" ht="42" customHeight="1" x14ac:dyDescent="0.3">
      <c r="A57" s="80"/>
      <c r="B57" s="85"/>
      <c r="C57" s="74" t="s">
        <v>41</v>
      </c>
      <c r="D57" s="75"/>
      <c r="E57" s="75"/>
      <c r="F57" s="28" t="s">
        <v>22</v>
      </c>
      <c r="G57" s="11">
        <f t="shared" si="20"/>
        <v>85717.77999999981</v>
      </c>
      <c r="H57" s="11">
        <f t="shared" si="20"/>
        <v>78152.699999999808</v>
      </c>
      <c r="I57" s="11">
        <f t="shared" si="21"/>
        <v>61778.0799999999</v>
      </c>
      <c r="J57" s="11">
        <f>J69+J95+J107</f>
        <v>56942.999999999898</v>
      </c>
      <c r="K57" s="11">
        <f t="shared" si="22"/>
        <v>577.5</v>
      </c>
      <c r="L57" s="11">
        <f t="shared" si="22"/>
        <v>0</v>
      </c>
      <c r="M57" s="11">
        <f t="shared" si="22"/>
        <v>21556.499999999909</v>
      </c>
      <c r="N57" s="11">
        <f t="shared" si="22"/>
        <v>19403.999999999909</v>
      </c>
      <c r="O57" s="11">
        <f t="shared" si="22"/>
        <v>1805.7</v>
      </c>
      <c r="P57" s="11">
        <f t="shared" si="22"/>
        <v>1805.7</v>
      </c>
      <c r="Q57" s="95"/>
      <c r="R57" s="18"/>
    </row>
    <row r="58" spans="1:185" s="13" customFormat="1" ht="26.25" customHeight="1" x14ac:dyDescent="0.3">
      <c r="A58" s="80"/>
      <c r="B58" s="85"/>
      <c r="C58" s="75"/>
      <c r="D58" s="75"/>
      <c r="E58" s="75"/>
      <c r="F58" s="28" t="s">
        <v>23</v>
      </c>
      <c r="G58" s="11">
        <f t="shared" si="20"/>
        <v>103715.24299999989</v>
      </c>
      <c r="H58" s="11">
        <f t="shared" si="20"/>
        <v>97697.14299999988</v>
      </c>
      <c r="I58" s="11">
        <f t="shared" si="21"/>
        <v>63546.299999999988</v>
      </c>
      <c r="J58" s="11">
        <f t="shared" ref="J58:J61" si="23">J70+J82+J96+J108</f>
        <v>59052.9</v>
      </c>
      <c r="K58" s="11">
        <f t="shared" si="22"/>
        <v>635.29999999999995</v>
      </c>
      <c r="L58" s="11">
        <f t="shared" si="22"/>
        <v>0</v>
      </c>
      <c r="M58" s="11">
        <f t="shared" si="22"/>
        <v>38033.542999999896</v>
      </c>
      <c r="N58" s="11">
        <f t="shared" si="22"/>
        <v>37144.142999999895</v>
      </c>
      <c r="O58" s="11">
        <f t="shared" si="22"/>
        <v>1500.0999999999899</v>
      </c>
      <c r="P58" s="11">
        <f t="shared" si="22"/>
        <v>1500.0999999999899</v>
      </c>
      <c r="Q58" s="95"/>
      <c r="R58" s="18"/>
      <c r="S58" s="133" t="s">
        <v>39</v>
      </c>
      <c r="T58" s="133"/>
    </row>
    <row r="59" spans="1:185" s="13" customFormat="1" ht="15.6" x14ac:dyDescent="0.3">
      <c r="A59" s="80"/>
      <c r="B59" s="85"/>
      <c r="C59" s="75"/>
      <c r="D59" s="75"/>
      <c r="E59" s="75"/>
      <c r="F59" s="28" t="s">
        <v>24</v>
      </c>
      <c r="G59" s="11">
        <f t="shared" si="20"/>
        <v>112584.2</v>
      </c>
      <c r="H59" s="11">
        <f t="shared" si="20"/>
        <v>108049.3</v>
      </c>
      <c r="I59" s="11">
        <f t="shared" si="21"/>
        <v>63552.499999999985</v>
      </c>
      <c r="J59" s="11">
        <f t="shared" si="23"/>
        <v>59017.599999999999</v>
      </c>
      <c r="K59" s="11">
        <f t="shared" si="22"/>
        <v>0</v>
      </c>
      <c r="L59" s="11">
        <f t="shared" si="22"/>
        <v>0</v>
      </c>
      <c r="M59" s="11">
        <f t="shared" si="22"/>
        <v>47439.4</v>
      </c>
      <c r="N59" s="11">
        <f t="shared" si="22"/>
        <v>47439.4</v>
      </c>
      <c r="O59" s="11">
        <f t="shared" si="22"/>
        <v>1592.3</v>
      </c>
      <c r="P59" s="11">
        <f t="shared" si="22"/>
        <v>1592.3</v>
      </c>
      <c r="Q59" s="95"/>
      <c r="R59" s="18"/>
      <c r="S59" s="133"/>
      <c r="T59" s="133"/>
      <c r="AD59" s="20"/>
    </row>
    <row r="60" spans="1:185" s="13" customFormat="1" ht="15.6" x14ac:dyDescent="0.3">
      <c r="A60" s="80"/>
      <c r="B60" s="85"/>
      <c r="C60" s="75"/>
      <c r="D60" s="75"/>
      <c r="E60" s="75"/>
      <c r="F60" s="28" t="s">
        <v>25</v>
      </c>
      <c r="G60" s="11">
        <f t="shared" si="20"/>
        <v>112752.29999999999</v>
      </c>
      <c r="H60" s="11">
        <f t="shared" si="20"/>
        <v>107962.4</v>
      </c>
      <c r="I60" s="11">
        <f t="shared" si="21"/>
        <v>63552.499999999985</v>
      </c>
      <c r="J60" s="11">
        <f t="shared" si="23"/>
        <v>59554.9</v>
      </c>
      <c r="K60" s="11">
        <f t="shared" si="22"/>
        <v>0</v>
      </c>
      <c r="L60" s="11">
        <f t="shared" si="22"/>
        <v>0</v>
      </c>
      <c r="M60" s="11">
        <f t="shared" si="22"/>
        <v>47439.4</v>
      </c>
      <c r="N60" s="11">
        <f t="shared" si="22"/>
        <v>46647.1</v>
      </c>
      <c r="O60" s="11">
        <f t="shared" si="22"/>
        <v>1760.399999999999</v>
      </c>
      <c r="P60" s="11">
        <f t="shared" si="22"/>
        <v>1760.399999999999</v>
      </c>
      <c r="Q60" s="95"/>
      <c r="R60" s="18"/>
      <c r="S60" s="29">
        <f>H60/G60*100</f>
        <v>95.751838321701641</v>
      </c>
      <c r="T60" s="28" t="s">
        <v>25</v>
      </c>
      <c r="Y60" s="30"/>
      <c r="Z60" s="30"/>
      <c r="AA60" s="30"/>
      <c r="AB60" s="30"/>
    </row>
    <row r="61" spans="1:185" s="13" customFormat="1" ht="15.6" x14ac:dyDescent="0.3">
      <c r="A61" s="80"/>
      <c r="B61" s="85"/>
      <c r="C61" s="75"/>
      <c r="D61" s="75"/>
      <c r="E61" s="75"/>
      <c r="F61" s="28" t="s">
        <v>26</v>
      </c>
      <c r="G61" s="11">
        <f t="shared" ref="G61:H66" si="24">I61+K61+M61+O61</f>
        <v>126657.13</v>
      </c>
      <c r="H61" s="11">
        <f t="shared" si="24"/>
        <v>109893.13</v>
      </c>
      <c r="I61" s="11">
        <f t="shared" si="21"/>
        <v>78438.23</v>
      </c>
      <c r="J61" s="11">
        <f t="shared" si="23"/>
        <v>76328.63</v>
      </c>
      <c r="K61" s="11">
        <f t="shared" si="22"/>
        <v>0</v>
      </c>
      <c r="L61" s="11">
        <f t="shared" si="22"/>
        <v>0</v>
      </c>
      <c r="M61" s="11">
        <f t="shared" si="22"/>
        <v>47439.4</v>
      </c>
      <c r="N61" s="11">
        <f t="shared" si="22"/>
        <v>32785</v>
      </c>
      <c r="O61" s="11">
        <f t="shared" si="22"/>
        <v>779.5</v>
      </c>
      <c r="P61" s="11">
        <f t="shared" si="22"/>
        <v>779.5</v>
      </c>
      <c r="Q61" s="95"/>
      <c r="R61" s="18"/>
      <c r="S61" s="29">
        <f t="shared" ref="S61:S66" si="25">H61/G61*100</f>
        <v>86.764266646496722</v>
      </c>
      <c r="T61" s="28" t="s">
        <v>26</v>
      </c>
      <c r="Y61" s="30"/>
      <c r="Z61" s="30"/>
      <c r="AA61" s="30"/>
      <c r="AB61" s="30"/>
    </row>
    <row r="62" spans="1:185" s="13" customFormat="1" ht="15.6" x14ac:dyDescent="0.3">
      <c r="A62" s="80"/>
      <c r="B62" s="85"/>
      <c r="C62" s="75"/>
      <c r="D62" s="75"/>
      <c r="E62" s="75"/>
      <c r="F62" s="28" t="s">
        <v>27</v>
      </c>
      <c r="G62" s="11">
        <f t="shared" si="24"/>
        <v>132732.20000000001</v>
      </c>
      <c r="H62" s="11">
        <f t="shared" si="24"/>
        <v>113985.1</v>
      </c>
      <c r="I62" s="11">
        <f t="shared" ref="I62:P66" si="26">I74+I100+I112</f>
        <v>83452.7</v>
      </c>
      <c r="J62" s="11">
        <f t="shared" ref="J62:P62" si="27">J74+J100+J112</f>
        <v>80236.899999999994</v>
      </c>
      <c r="K62" s="11">
        <f t="shared" si="27"/>
        <v>416</v>
      </c>
      <c r="L62" s="11">
        <f t="shared" si="27"/>
        <v>416</v>
      </c>
      <c r="M62" s="11">
        <f t="shared" si="27"/>
        <v>47439.4</v>
      </c>
      <c r="N62" s="11">
        <f t="shared" si="27"/>
        <v>31908.1</v>
      </c>
      <c r="O62" s="11">
        <f t="shared" si="27"/>
        <v>1424.1</v>
      </c>
      <c r="P62" s="11">
        <f t="shared" si="27"/>
        <v>1424.1</v>
      </c>
      <c r="Q62" s="95"/>
      <c r="R62" s="18"/>
      <c r="S62" s="29">
        <f t="shared" si="25"/>
        <v>85.875996932168675</v>
      </c>
      <c r="T62" s="28" t="s">
        <v>27</v>
      </c>
      <c r="W62" s="16">
        <f t="shared" ref="W62:W125" si="28">I62-J62</f>
        <v>3215.8000000000029</v>
      </c>
      <c r="Y62" s="30"/>
      <c r="Z62" s="30"/>
      <c r="AA62" s="30"/>
      <c r="AB62" s="30"/>
    </row>
    <row r="63" spans="1:185" s="13" customFormat="1" ht="15.6" x14ac:dyDescent="0.3">
      <c r="A63" s="80"/>
      <c r="B63" s="85"/>
      <c r="C63" s="75"/>
      <c r="D63" s="75"/>
      <c r="E63" s="75"/>
      <c r="F63" s="28" t="s">
        <v>28</v>
      </c>
      <c r="G63" s="11">
        <f t="shared" si="24"/>
        <v>147176.03999999998</v>
      </c>
      <c r="H63" s="11">
        <f t="shared" si="24"/>
        <v>121542.27</v>
      </c>
      <c r="I63" s="11">
        <f t="shared" si="26"/>
        <v>98250.94</v>
      </c>
      <c r="J63" s="11">
        <f t="shared" si="26"/>
        <v>84177.99</v>
      </c>
      <c r="K63" s="11">
        <f t="shared" si="26"/>
        <v>432.89999999999901</v>
      </c>
      <c r="L63" s="11">
        <f t="shared" si="26"/>
        <v>432.89999999999901</v>
      </c>
      <c r="M63" s="11">
        <f t="shared" si="26"/>
        <v>47439.4</v>
      </c>
      <c r="N63" s="11">
        <f t="shared" si="26"/>
        <v>35878.58</v>
      </c>
      <c r="O63" s="11">
        <f t="shared" si="26"/>
        <v>1052.8</v>
      </c>
      <c r="P63" s="11">
        <f t="shared" si="26"/>
        <v>1052.8</v>
      </c>
      <c r="Q63" s="95"/>
      <c r="R63" s="18"/>
      <c r="S63" s="29">
        <f t="shared" si="25"/>
        <v>82.582919067533027</v>
      </c>
      <c r="T63" s="28" t="s">
        <v>28</v>
      </c>
      <c r="W63" s="16">
        <f t="shared" si="28"/>
        <v>14072.949999999997</v>
      </c>
      <c r="Y63" s="30"/>
      <c r="Z63" s="30"/>
      <c r="AA63" s="30"/>
      <c r="AB63" s="30"/>
    </row>
    <row r="64" spans="1:185" s="13" customFormat="1" ht="15.6" customHeight="1" x14ac:dyDescent="0.3">
      <c r="A64" s="80"/>
      <c r="B64" s="85"/>
      <c r="C64" s="75"/>
      <c r="D64" s="75"/>
      <c r="E64" s="75"/>
      <c r="F64" s="28" t="s">
        <v>29</v>
      </c>
      <c r="G64" s="11">
        <f t="shared" si="24"/>
        <v>156977.59999999992</v>
      </c>
      <c r="H64" s="11">
        <f t="shared" si="24"/>
        <v>147750</v>
      </c>
      <c r="I64" s="11">
        <f t="shared" si="26"/>
        <v>95684.299999999901</v>
      </c>
      <c r="J64" s="11">
        <f t="shared" si="26"/>
        <v>86456.7</v>
      </c>
      <c r="K64" s="11">
        <f t="shared" si="26"/>
        <v>389.7</v>
      </c>
      <c r="L64" s="11">
        <f t="shared" si="26"/>
        <v>389.7</v>
      </c>
      <c r="M64" s="11">
        <f t="shared" si="26"/>
        <v>59780.9</v>
      </c>
      <c r="N64" s="11">
        <f t="shared" si="26"/>
        <v>59780.9</v>
      </c>
      <c r="O64" s="11">
        <f t="shared" si="26"/>
        <v>1122.7</v>
      </c>
      <c r="P64" s="11">
        <f t="shared" si="26"/>
        <v>1122.7</v>
      </c>
      <c r="Q64" s="95"/>
      <c r="R64" s="18"/>
      <c r="S64" s="29">
        <f t="shared" si="25"/>
        <v>94.121709084608298</v>
      </c>
      <c r="T64" s="28" t="s">
        <v>29</v>
      </c>
      <c r="W64" s="16">
        <f t="shared" si="28"/>
        <v>9227.599999999904</v>
      </c>
      <c r="Y64" s="30"/>
      <c r="Z64" s="30"/>
      <c r="AA64" s="30"/>
      <c r="AB64" s="30"/>
      <c r="GC64" s="16"/>
    </row>
    <row r="65" spans="1:28" s="13" customFormat="1" ht="15.6" x14ac:dyDescent="0.3">
      <c r="A65" s="80"/>
      <c r="B65" s="85"/>
      <c r="C65" s="75"/>
      <c r="D65" s="75"/>
      <c r="E65" s="75"/>
      <c r="F65" s="28" t="s">
        <v>30</v>
      </c>
      <c r="G65" s="11">
        <f t="shared" si="24"/>
        <v>156576.59999999992</v>
      </c>
      <c r="H65" s="11">
        <f t="shared" si="24"/>
        <v>85250.799999999901</v>
      </c>
      <c r="I65" s="11">
        <f t="shared" si="26"/>
        <v>95698.599999999904</v>
      </c>
      <c r="J65" s="11">
        <f t="shared" si="26"/>
        <v>84153.699999999895</v>
      </c>
      <c r="K65" s="11">
        <f t="shared" si="26"/>
        <v>0</v>
      </c>
      <c r="L65" s="11">
        <f t="shared" si="26"/>
        <v>0</v>
      </c>
      <c r="M65" s="11">
        <f t="shared" si="26"/>
        <v>59780.9</v>
      </c>
      <c r="N65" s="11">
        <f t="shared" si="26"/>
        <v>0</v>
      </c>
      <c r="O65" s="11">
        <f t="shared" si="26"/>
        <v>1097.0999999999999</v>
      </c>
      <c r="P65" s="11">
        <f t="shared" si="26"/>
        <v>1097.0999999999999</v>
      </c>
      <c r="Q65" s="95"/>
      <c r="R65" s="18"/>
      <c r="S65" s="29">
        <f t="shared" si="25"/>
        <v>54.44670531867466</v>
      </c>
      <c r="T65" s="28" t="s">
        <v>30</v>
      </c>
      <c r="W65" s="16">
        <f t="shared" si="28"/>
        <v>11544.900000000009</v>
      </c>
      <c r="Y65" s="30"/>
      <c r="Z65" s="30"/>
      <c r="AA65" s="30"/>
      <c r="AB65" s="30"/>
    </row>
    <row r="66" spans="1:28" s="13" customFormat="1" ht="15.6" x14ac:dyDescent="0.3">
      <c r="A66" s="80"/>
      <c r="B66" s="85"/>
      <c r="C66" s="76"/>
      <c r="D66" s="76"/>
      <c r="E66" s="76"/>
      <c r="F66" s="28" t="s">
        <v>31</v>
      </c>
      <c r="G66" s="11">
        <f t="shared" si="24"/>
        <v>156576.59999999992</v>
      </c>
      <c r="H66" s="11">
        <f t="shared" si="24"/>
        <v>84680.799999999901</v>
      </c>
      <c r="I66" s="11">
        <f t="shared" si="26"/>
        <v>95698.599999999904</v>
      </c>
      <c r="J66" s="11">
        <f t="shared" si="26"/>
        <v>83583.699999999895</v>
      </c>
      <c r="K66" s="11">
        <f>K78+K104+K116</f>
        <v>0</v>
      </c>
      <c r="L66" s="11">
        <f t="shared" si="26"/>
        <v>0</v>
      </c>
      <c r="M66" s="11">
        <f t="shared" si="26"/>
        <v>59780.9</v>
      </c>
      <c r="N66" s="11">
        <f t="shared" si="26"/>
        <v>0</v>
      </c>
      <c r="O66" s="11">
        <f t="shared" si="26"/>
        <v>1097.0999999999999</v>
      </c>
      <c r="P66" s="11">
        <f t="shared" si="26"/>
        <v>1097.0999999999999</v>
      </c>
      <c r="Q66" s="95"/>
      <c r="R66" s="18"/>
      <c r="S66" s="29">
        <f t="shared" si="25"/>
        <v>54.08266624770237</v>
      </c>
      <c r="T66" s="28" t="s">
        <v>31</v>
      </c>
      <c r="W66" s="16">
        <f t="shared" si="28"/>
        <v>12114.900000000009</v>
      </c>
      <c r="Y66" s="30"/>
      <c r="Z66" s="30"/>
      <c r="AA66" s="30"/>
      <c r="AB66" s="30"/>
    </row>
    <row r="67" spans="1:28" s="13" customFormat="1" ht="15.6" customHeight="1" x14ac:dyDescent="0.3">
      <c r="A67" s="80"/>
      <c r="B67" s="97" t="s">
        <v>42</v>
      </c>
      <c r="F67" s="63" t="s">
        <v>18</v>
      </c>
      <c r="G67" s="72">
        <f>SUM(G68:G78)</f>
        <v>1368714.5529999991</v>
      </c>
      <c r="H67" s="72">
        <f t="shared" ref="H67:P67" si="29">SUM(H68:H78)</f>
        <v>1125440.6029999994</v>
      </c>
      <c r="I67" s="72">
        <f t="shared" si="29"/>
        <v>854741.80999999959</v>
      </c>
      <c r="J67" s="72">
        <f t="shared" si="29"/>
        <v>779467.17999999947</v>
      </c>
      <c r="K67" s="72">
        <f t="shared" si="29"/>
        <v>2451.3999999999987</v>
      </c>
      <c r="L67" s="72">
        <f t="shared" si="29"/>
        <v>1238.599999999999</v>
      </c>
      <c r="M67" s="72">
        <f t="shared" si="29"/>
        <v>497359.04299999989</v>
      </c>
      <c r="N67" s="72">
        <f>SUM(N68:N78)</f>
        <v>330572.52299999981</v>
      </c>
      <c r="O67" s="72">
        <f t="shared" si="29"/>
        <v>14162.29999999999</v>
      </c>
      <c r="P67" s="72">
        <f t="shared" si="29"/>
        <v>14162.29999999999</v>
      </c>
      <c r="Q67" s="95"/>
      <c r="R67" s="18"/>
      <c r="W67" s="16">
        <f t="shared" si="28"/>
        <v>75274.630000000121</v>
      </c>
    </row>
    <row r="68" spans="1:28" s="31" customFormat="1" ht="53.25" customHeight="1" x14ac:dyDescent="0.3">
      <c r="A68" s="80"/>
      <c r="B68" s="97"/>
      <c r="C68" s="63" t="s">
        <v>43</v>
      </c>
      <c r="D68" s="79" t="s">
        <v>44</v>
      </c>
      <c r="E68" s="79" t="s">
        <v>45</v>
      </c>
      <c r="F68" s="63" t="s">
        <v>20</v>
      </c>
      <c r="G68" s="72">
        <f t="shared" ref="G68:H78" si="30">I68+K68+M68+O68</f>
        <v>91017.099999999904</v>
      </c>
      <c r="H68" s="72">
        <f>J68+L68+N68+P68</f>
        <v>73590.999999999898</v>
      </c>
      <c r="I68" s="72">
        <f>17212+J68-1400-29.8999999999999</f>
        <v>68857.299999999901</v>
      </c>
      <c r="J68" s="72">
        <f>53075.0999999999+0.1</f>
        <v>53075.199999999895</v>
      </c>
      <c r="K68" s="72">
        <v>0</v>
      </c>
      <c r="L68" s="72">
        <v>0</v>
      </c>
      <c r="M68" s="72">
        <f>1644+N68</f>
        <v>21229.3</v>
      </c>
      <c r="N68" s="72">
        <v>19585.3</v>
      </c>
      <c r="O68" s="72">
        <v>930.5</v>
      </c>
      <c r="P68" s="72">
        <f t="shared" ref="P68:P73" si="31">O68</f>
        <v>930.5</v>
      </c>
      <c r="Q68" s="95"/>
      <c r="R68" s="18"/>
      <c r="W68" s="16">
        <f t="shared" si="28"/>
        <v>15782.100000000006</v>
      </c>
    </row>
    <row r="69" spans="1:28" ht="54.75" customHeight="1" x14ac:dyDescent="0.3">
      <c r="A69" s="80"/>
      <c r="B69" s="97"/>
      <c r="C69" s="63" t="s">
        <v>46</v>
      </c>
      <c r="D69" s="80"/>
      <c r="E69" s="80"/>
      <c r="F69" s="63" t="s">
        <v>22</v>
      </c>
      <c r="G69" s="72">
        <f t="shared" si="30"/>
        <v>84342.77999999981</v>
      </c>
      <c r="H69" s="72">
        <f t="shared" si="30"/>
        <v>77737.699999999808</v>
      </c>
      <c r="I69" s="72">
        <f>J69+650.58+892.5+250+300+900+552+330</f>
        <v>60403.0799999999</v>
      </c>
      <c r="J69" s="72">
        <f>57048.5999999999-J95-0.1+371.699999999999+11.8+12-656</f>
        <v>56527.999999999898</v>
      </c>
      <c r="K69" s="72">
        <v>577.5</v>
      </c>
      <c r="L69" s="72">
        <v>0</v>
      </c>
      <c r="M69" s="72">
        <f>1344+N69+808.5</f>
        <v>21556.499999999909</v>
      </c>
      <c r="N69" s="72">
        <f>26596.0999999999-8847.29999999999+1655.2</f>
        <v>19403.999999999909</v>
      </c>
      <c r="O69" s="72">
        <v>1805.7</v>
      </c>
      <c r="P69" s="72">
        <f t="shared" si="31"/>
        <v>1805.7</v>
      </c>
      <c r="Q69" s="95"/>
      <c r="R69" s="18"/>
      <c r="W69" s="16">
        <f t="shared" si="28"/>
        <v>3875.0800000000017</v>
      </c>
    </row>
    <row r="70" spans="1:28" ht="42" customHeight="1" x14ac:dyDescent="0.3">
      <c r="A70" s="80"/>
      <c r="B70" s="97"/>
      <c r="C70" s="79" t="s">
        <v>132</v>
      </c>
      <c r="D70" s="80"/>
      <c r="E70" s="80"/>
      <c r="F70" s="63" t="s">
        <v>23</v>
      </c>
      <c r="G70" s="72">
        <f t="shared" si="30"/>
        <v>103006.24299999989</v>
      </c>
      <c r="H70" s="72">
        <f t="shared" si="30"/>
        <v>97282.14299999988</v>
      </c>
      <c r="I70" s="72">
        <f>J70+4199.39999999999</f>
        <v>62837.299999999988</v>
      </c>
      <c r="J70" s="72">
        <f>58855.9-J96+42</f>
        <v>58637.9</v>
      </c>
      <c r="K70" s="72">
        <v>635.29999999999995</v>
      </c>
      <c r="L70" s="72">
        <v>0</v>
      </c>
      <c r="M70" s="72">
        <f>N70+889.399999999999</f>
        <v>38033.542999999896</v>
      </c>
      <c r="N70" s="72">
        <f>38311.4429999999-1167.3</f>
        <v>37144.142999999895</v>
      </c>
      <c r="O70" s="72">
        <f>1500.09999999999</f>
        <v>1500.0999999999899</v>
      </c>
      <c r="P70" s="72">
        <f t="shared" si="31"/>
        <v>1500.0999999999899</v>
      </c>
      <c r="Q70" s="95"/>
      <c r="R70" s="18"/>
      <c r="W70" s="16">
        <f t="shared" si="28"/>
        <v>4199.3999999999869</v>
      </c>
    </row>
    <row r="71" spans="1:28" ht="21.6" customHeight="1" x14ac:dyDescent="0.3">
      <c r="A71" s="80"/>
      <c r="B71" s="97"/>
      <c r="C71" s="80"/>
      <c r="D71" s="80"/>
      <c r="E71" s="80"/>
      <c r="F71" s="63" t="s">
        <v>24</v>
      </c>
      <c r="G71" s="72">
        <f t="shared" si="30"/>
        <v>111868.99999999999</v>
      </c>
      <c r="H71" s="72">
        <f>J71+L71+N71+P71</f>
        <v>107888.1</v>
      </c>
      <c r="I71" s="72">
        <f t="shared" ref="I71:I78" si="32">I70</f>
        <v>62837.299999999988</v>
      </c>
      <c r="J71" s="72">
        <v>58856.4</v>
      </c>
      <c r="K71" s="72">
        <v>0</v>
      </c>
      <c r="L71" s="72">
        <v>0</v>
      </c>
      <c r="M71" s="72">
        <v>47439.4</v>
      </c>
      <c r="N71" s="72">
        <v>47439.4</v>
      </c>
      <c r="O71" s="72">
        <v>1592.3</v>
      </c>
      <c r="P71" s="72">
        <f t="shared" si="31"/>
        <v>1592.3</v>
      </c>
      <c r="Q71" s="95"/>
      <c r="R71" s="18"/>
      <c r="W71" s="16">
        <f t="shared" si="28"/>
        <v>3980.8999999999869</v>
      </c>
    </row>
    <row r="72" spans="1:28" ht="21.6" customHeight="1" x14ac:dyDescent="0.3">
      <c r="A72" s="80"/>
      <c r="B72" s="97"/>
      <c r="C72" s="80"/>
      <c r="D72" s="80"/>
      <c r="E72" s="80"/>
      <c r="F72" s="63" t="s">
        <v>25</v>
      </c>
      <c r="G72" s="72">
        <f t="shared" si="30"/>
        <v>112037.09999999998</v>
      </c>
      <c r="H72" s="72">
        <f t="shared" si="30"/>
        <v>107541.2</v>
      </c>
      <c r="I72" s="72">
        <f t="shared" si="32"/>
        <v>62837.299999999988</v>
      </c>
      <c r="J72" s="72">
        <f>59108.9+24.8</f>
        <v>59133.700000000004</v>
      </c>
      <c r="K72" s="72">
        <v>0</v>
      </c>
      <c r="L72" s="72">
        <v>0</v>
      </c>
      <c r="M72" s="72">
        <f t="shared" ref="M72:M78" si="33">M71</f>
        <v>47439.4</v>
      </c>
      <c r="N72" s="72">
        <v>46647.1</v>
      </c>
      <c r="O72" s="72">
        <f>755.399999999999+775+30+200-O464</f>
        <v>1760.399999999999</v>
      </c>
      <c r="P72" s="72">
        <f t="shared" si="31"/>
        <v>1760.399999999999</v>
      </c>
      <c r="Q72" s="95"/>
      <c r="R72" s="18"/>
      <c r="W72" s="16">
        <f t="shared" si="28"/>
        <v>3703.599999999984</v>
      </c>
      <c r="Y72" s="32"/>
    </row>
    <row r="73" spans="1:28" ht="21.6" customHeight="1" x14ac:dyDescent="0.3">
      <c r="A73" s="80"/>
      <c r="B73" s="97"/>
      <c r="C73" s="80"/>
      <c r="D73" s="80"/>
      <c r="E73" s="80"/>
      <c r="F73" s="63" t="s">
        <v>26</v>
      </c>
      <c r="G73" s="72">
        <f t="shared" si="30"/>
        <v>125915.43</v>
      </c>
      <c r="H73" s="72">
        <f t="shared" si="30"/>
        <v>109761.03</v>
      </c>
      <c r="I73" s="72">
        <f>J73+1500</f>
        <v>77696.53</v>
      </c>
      <c r="J73" s="72">
        <v>76196.53</v>
      </c>
      <c r="K73" s="72">
        <v>0</v>
      </c>
      <c r="L73" s="72">
        <v>0</v>
      </c>
      <c r="M73" s="72">
        <f t="shared" si="33"/>
        <v>47439.4</v>
      </c>
      <c r="N73" s="72">
        <v>32785</v>
      </c>
      <c r="O73" s="72">
        <v>779.5</v>
      </c>
      <c r="P73" s="72">
        <f t="shared" si="31"/>
        <v>779.5</v>
      </c>
      <c r="Q73" s="95"/>
      <c r="R73" s="33"/>
      <c r="W73" s="16">
        <f t="shared" si="28"/>
        <v>1500</v>
      </c>
      <c r="Y73" s="32"/>
    </row>
    <row r="74" spans="1:28" ht="21.6" customHeight="1" x14ac:dyDescent="0.3">
      <c r="A74" s="80"/>
      <c r="B74" s="97"/>
      <c r="C74" s="80"/>
      <c r="D74" s="80"/>
      <c r="E74" s="80"/>
      <c r="F74" s="63" t="s">
        <v>27</v>
      </c>
      <c r="G74" s="72">
        <f t="shared" si="30"/>
        <v>132409.5</v>
      </c>
      <c r="H74" s="72">
        <f t="shared" si="30"/>
        <v>113700.4</v>
      </c>
      <c r="I74" s="72">
        <v>83130</v>
      </c>
      <c r="J74" s="72">
        <v>79952.2</v>
      </c>
      <c r="K74" s="72">
        <v>416</v>
      </c>
      <c r="L74" s="72">
        <v>416</v>
      </c>
      <c r="M74" s="72">
        <f t="shared" si="33"/>
        <v>47439.4</v>
      </c>
      <c r="N74" s="72">
        <v>31908.1</v>
      </c>
      <c r="O74" s="72">
        <f t="shared" ref="O74:O78" si="34">P74</f>
        <v>1424.1</v>
      </c>
      <c r="P74" s="72">
        <v>1424.1</v>
      </c>
      <c r="Q74" s="95"/>
      <c r="R74" s="18"/>
      <c r="W74" s="16">
        <f t="shared" si="28"/>
        <v>3177.8000000000029</v>
      </c>
    </row>
    <row r="75" spans="1:28" ht="21.6" customHeight="1" x14ac:dyDescent="0.3">
      <c r="A75" s="80"/>
      <c r="B75" s="97"/>
      <c r="C75" s="80"/>
      <c r="D75" s="80"/>
      <c r="E75" s="80"/>
      <c r="F75" s="63" t="s">
        <v>28</v>
      </c>
      <c r="G75" s="72">
        <f t="shared" si="30"/>
        <v>140974.69999999998</v>
      </c>
      <c r="H75" s="72">
        <f t="shared" si="30"/>
        <v>121230.93000000001</v>
      </c>
      <c r="I75" s="72">
        <v>92049.600000000006</v>
      </c>
      <c r="J75" s="72">
        <f>83840.46+26.19</f>
        <v>83866.650000000009</v>
      </c>
      <c r="K75" s="72">
        <f>L75</f>
        <v>432.89999999999901</v>
      </c>
      <c r="L75" s="72">
        <f>432.899999999999</f>
        <v>432.89999999999901</v>
      </c>
      <c r="M75" s="72">
        <f t="shared" si="33"/>
        <v>47439.4</v>
      </c>
      <c r="N75" s="72">
        <f>35813.9+64.68</f>
        <v>35878.58</v>
      </c>
      <c r="O75" s="72">
        <f t="shared" si="34"/>
        <v>1052.8</v>
      </c>
      <c r="P75" s="72">
        <v>1052.8</v>
      </c>
      <c r="Q75" s="95"/>
      <c r="R75" s="33"/>
      <c r="S75" s="32"/>
      <c r="W75" s="16">
        <f t="shared" si="28"/>
        <v>8182.9499999999971</v>
      </c>
      <c r="X75" s="32">
        <f>I75-J75</f>
        <v>8182.9499999999971</v>
      </c>
    </row>
    <row r="76" spans="1:28" ht="21.6" customHeight="1" x14ac:dyDescent="0.3">
      <c r="A76" s="80"/>
      <c r="B76" s="97"/>
      <c r="C76" s="80"/>
      <c r="D76" s="80"/>
      <c r="E76" s="80"/>
      <c r="F76" s="63" t="s">
        <v>29</v>
      </c>
      <c r="G76" s="72">
        <f t="shared" si="30"/>
        <v>155991.09999999992</v>
      </c>
      <c r="H76" s="72">
        <f t="shared" si="30"/>
        <v>147425.5</v>
      </c>
      <c r="I76" s="72">
        <f>83424.1999999999+11935.6-662</f>
        <v>94697.799999999901</v>
      </c>
      <c r="J76" s="72">
        <v>86132.2</v>
      </c>
      <c r="K76" s="72">
        <v>389.7</v>
      </c>
      <c r="L76" s="72">
        <v>389.7</v>
      </c>
      <c r="M76" s="72">
        <f>N76</f>
        <v>59780.9</v>
      </c>
      <c r="N76" s="72">
        <v>59780.9</v>
      </c>
      <c r="O76" s="72">
        <v>1122.7</v>
      </c>
      <c r="P76" s="72">
        <v>1122.7</v>
      </c>
      <c r="Q76" s="95"/>
      <c r="R76" s="33">
        <f>I76-J76</f>
        <v>8565.599999999904</v>
      </c>
      <c r="S76" s="32"/>
      <c r="W76" s="16">
        <f t="shared" si="28"/>
        <v>8565.599999999904</v>
      </c>
    </row>
    <row r="77" spans="1:28" ht="21.6" customHeight="1" x14ac:dyDescent="0.3">
      <c r="A77" s="80"/>
      <c r="B77" s="97"/>
      <c r="C77" s="80"/>
      <c r="D77" s="80"/>
      <c r="E77" s="80"/>
      <c r="F77" s="63" t="s">
        <v>30</v>
      </c>
      <c r="G77" s="72">
        <f t="shared" si="30"/>
        <v>155575.7999999999</v>
      </c>
      <c r="H77" s="72">
        <f t="shared" si="30"/>
        <v>84926.299999999901</v>
      </c>
      <c r="I77" s="72">
        <f t="shared" si="32"/>
        <v>94697.799999999901</v>
      </c>
      <c r="J77" s="72">
        <f>83424.1999999999+405</f>
        <v>83829.199999999895</v>
      </c>
      <c r="K77" s="72">
        <v>0</v>
      </c>
      <c r="L77" s="72">
        <v>0</v>
      </c>
      <c r="M77" s="72">
        <f t="shared" si="33"/>
        <v>59780.9</v>
      </c>
      <c r="N77" s="72">
        <v>0</v>
      </c>
      <c r="O77" s="72">
        <f t="shared" si="34"/>
        <v>1097.0999999999999</v>
      </c>
      <c r="P77" s="72">
        <v>1097.0999999999999</v>
      </c>
      <c r="Q77" s="95"/>
      <c r="R77" s="18"/>
      <c r="W77" s="16">
        <f t="shared" si="28"/>
        <v>10868.600000000006</v>
      </c>
    </row>
    <row r="78" spans="1:28" ht="21.6" customHeight="1" x14ac:dyDescent="0.3">
      <c r="A78" s="80"/>
      <c r="B78" s="97"/>
      <c r="C78" s="81"/>
      <c r="D78" s="81"/>
      <c r="E78" s="81"/>
      <c r="F78" s="63" t="s">
        <v>31</v>
      </c>
      <c r="G78" s="72">
        <f t="shared" si="30"/>
        <v>155575.7999999999</v>
      </c>
      <c r="H78" s="72">
        <f t="shared" si="30"/>
        <v>84356.299999999901</v>
      </c>
      <c r="I78" s="72">
        <f t="shared" si="32"/>
        <v>94697.799999999901</v>
      </c>
      <c r="J78" s="72">
        <f>83424.1999999999+405-570</f>
        <v>83259.199999999895</v>
      </c>
      <c r="K78" s="72">
        <v>0</v>
      </c>
      <c r="L78" s="72">
        <v>0</v>
      </c>
      <c r="M78" s="72">
        <f t="shared" si="33"/>
        <v>59780.9</v>
      </c>
      <c r="N78" s="72">
        <v>0</v>
      </c>
      <c r="O78" s="72">
        <f t="shared" si="34"/>
        <v>1097.0999999999999</v>
      </c>
      <c r="P78" s="72">
        <v>1097.0999999999999</v>
      </c>
      <c r="Q78" s="95"/>
      <c r="R78" s="18"/>
      <c r="W78" s="16">
        <f t="shared" si="28"/>
        <v>11438.600000000006</v>
      </c>
    </row>
    <row r="79" spans="1:28" ht="15.6" x14ac:dyDescent="0.3">
      <c r="A79" s="80"/>
      <c r="B79" s="97" t="s">
        <v>47</v>
      </c>
      <c r="C79" s="79"/>
      <c r="D79" s="60"/>
      <c r="E79" s="60"/>
      <c r="F79" s="63" t="s">
        <v>18</v>
      </c>
      <c r="G79" s="72">
        <f>SUM(G80:G85)</f>
        <v>3398</v>
      </c>
      <c r="H79" s="72">
        <f t="shared" ref="H79:N79" si="35">SUM(H80:H85)</f>
        <v>80</v>
      </c>
      <c r="I79" s="72">
        <f t="shared" si="35"/>
        <v>2058</v>
      </c>
      <c r="J79" s="72">
        <f t="shared" si="35"/>
        <v>0</v>
      </c>
      <c r="K79" s="72">
        <f>SUM(K80:K85)</f>
        <v>525</v>
      </c>
      <c r="L79" s="72">
        <f>SUM(L80:L85)</f>
        <v>0</v>
      </c>
      <c r="M79" s="72">
        <f t="shared" si="35"/>
        <v>735</v>
      </c>
      <c r="N79" s="72">
        <f t="shared" si="35"/>
        <v>0</v>
      </c>
      <c r="O79" s="72">
        <f>SUM(O80:O85)</f>
        <v>80</v>
      </c>
      <c r="P79" s="72">
        <f>SUM(P80:P85)</f>
        <v>80</v>
      </c>
      <c r="Q79" s="95"/>
      <c r="R79" s="18"/>
      <c r="W79" s="16">
        <f t="shared" si="28"/>
        <v>2058</v>
      </c>
    </row>
    <row r="80" spans="1:28" s="6" customFormat="1" ht="24" customHeight="1" x14ac:dyDescent="0.3">
      <c r="A80" s="80"/>
      <c r="B80" s="97"/>
      <c r="C80" s="80"/>
      <c r="D80" s="61"/>
      <c r="E80" s="61"/>
      <c r="F80" s="63" t="s">
        <v>20</v>
      </c>
      <c r="G80" s="72">
        <f>I80+K80+M80+O80</f>
        <v>3398</v>
      </c>
      <c r="H80" s="72">
        <f>J80+L80+N80+P80</f>
        <v>80</v>
      </c>
      <c r="I80" s="72">
        <v>2058</v>
      </c>
      <c r="J80" s="72">
        <v>0</v>
      </c>
      <c r="K80" s="72">
        <v>525</v>
      </c>
      <c r="L80" s="72"/>
      <c r="M80" s="72">
        <f>735</f>
        <v>735</v>
      </c>
      <c r="N80" s="72">
        <v>0</v>
      </c>
      <c r="O80" s="72">
        <v>80</v>
      </c>
      <c r="P80" s="72">
        <f>O80</f>
        <v>80</v>
      </c>
      <c r="Q80" s="95"/>
      <c r="R80" s="18"/>
      <c r="W80" s="16">
        <f t="shared" si="28"/>
        <v>2058</v>
      </c>
    </row>
    <row r="81" spans="1:30" ht="39.75" customHeight="1" x14ac:dyDescent="0.3">
      <c r="A81" s="80"/>
      <c r="B81" s="97"/>
      <c r="C81" s="80"/>
      <c r="D81" s="61"/>
      <c r="E81" s="61"/>
      <c r="F81" s="63" t="s">
        <v>22</v>
      </c>
      <c r="G81" s="107" t="s">
        <v>48</v>
      </c>
      <c r="H81" s="108"/>
      <c r="I81" s="108"/>
      <c r="J81" s="108"/>
      <c r="K81" s="108"/>
      <c r="L81" s="108"/>
      <c r="M81" s="108"/>
      <c r="N81" s="108"/>
      <c r="O81" s="108"/>
      <c r="P81" s="109"/>
      <c r="Q81" s="95"/>
      <c r="R81" s="18"/>
      <c r="W81" s="16">
        <f t="shared" si="28"/>
        <v>0</v>
      </c>
    </row>
    <row r="82" spans="1:30" ht="15.6" hidden="1" customHeight="1" x14ac:dyDescent="0.3">
      <c r="A82" s="80"/>
      <c r="B82" s="97"/>
      <c r="C82" s="34"/>
      <c r="D82" s="34"/>
      <c r="E82" s="34"/>
      <c r="F82" s="63" t="s">
        <v>23</v>
      </c>
      <c r="G82" s="110"/>
      <c r="H82" s="111"/>
      <c r="I82" s="111"/>
      <c r="J82" s="111"/>
      <c r="K82" s="111"/>
      <c r="L82" s="111"/>
      <c r="M82" s="111"/>
      <c r="N82" s="111"/>
      <c r="O82" s="111"/>
      <c r="P82" s="112"/>
      <c r="Q82" s="95"/>
      <c r="R82" s="18"/>
      <c r="W82" s="16">
        <f t="shared" si="28"/>
        <v>0</v>
      </c>
    </row>
    <row r="83" spans="1:30" ht="15.6" hidden="1" customHeight="1" x14ac:dyDescent="0.3">
      <c r="A83" s="80"/>
      <c r="B83" s="97"/>
      <c r="C83" s="34"/>
      <c r="D83" s="34"/>
      <c r="E83" s="34"/>
      <c r="F83" s="63" t="s">
        <v>24</v>
      </c>
      <c r="G83" s="110"/>
      <c r="H83" s="111"/>
      <c r="I83" s="111"/>
      <c r="J83" s="111"/>
      <c r="K83" s="111"/>
      <c r="L83" s="111"/>
      <c r="M83" s="111"/>
      <c r="N83" s="111"/>
      <c r="O83" s="111"/>
      <c r="P83" s="112"/>
      <c r="Q83" s="95"/>
      <c r="R83" s="18"/>
      <c r="W83" s="16">
        <f t="shared" si="28"/>
        <v>0</v>
      </c>
    </row>
    <row r="84" spans="1:30" ht="15.6" hidden="1" customHeight="1" x14ac:dyDescent="0.3">
      <c r="A84" s="80"/>
      <c r="B84" s="97"/>
      <c r="C84" s="34"/>
      <c r="D84" s="34"/>
      <c r="E84" s="34"/>
      <c r="F84" s="63" t="s">
        <v>25</v>
      </c>
      <c r="G84" s="110"/>
      <c r="H84" s="111"/>
      <c r="I84" s="111"/>
      <c r="J84" s="111"/>
      <c r="K84" s="111"/>
      <c r="L84" s="111"/>
      <c r="M84" s="111"/>
      <c r="N84" s="111"/>
      <c r="O84" s="111"/>
      <c r="P84" s="112"/>
      <c r="Q84" s="95"/>
      <c r="R84" s="18"/>
      <c r="W84" s="16">
        <f t="shared" si="28"/>
        <v>0</v>
      </c>
    </row>
    <row r="85" spans="1:30" ht="15.6" hidden="1" customHeight="1" x14ac:dyDescent="0.3">
      <c r="A85" s="80"/>
      <c r="B85" s="97"/>
      <c r="C85" s="34"/>
      <c r="D85" s="34"/>
      <c r="E85" s="34"/>
      <c r="F85" s="63" t="s">
        <v>26</v>
      </c>
      <c r="G85" s="113"/>
      <c r="H85" s="114"/>
      <c r="I85" s="114"/>
      <c r="J85" s="114"/>
      <c r="K85" s="114"/>
      <c r="L85" s="114"/>
      <c r="M85" s="114"/>
      <c r="N85" s="114"/>
      <c r="O85" s="114"/>
      <c r="P85" s="115"/>
      <c r="Q85" s="95"/>
      <c r="R85" s="18"/>
      <c r="W85" s="16">
        <f t="shared" si="28"/>
        <v>0</v>
      </c>
    </row>
    <row r="86" spans="1:30" ht="15.6" hidden="1" customHeight="1" x14ac:dyDescent="0.3">
      <c r="A86" s="80"/>
      <c r="B86" s="97" t="s">
        <v>49</v>
      </c>
      <c r="C86" s="34"/>
      <c r="D86" s="34"/>
      <c r="E86" s="34"/>
      <c r="F86" s="63" t="s">
        <v>18</v>
      </c>
      <c r="G86" s="72">
        <f>SUM(G87:G92)</f>
        <v>0</v>
      </c>
      <c r="H86" s="72">
        <f t="shared" ref="H86:P86" si="36">SUM(H87:H92)</f>
        <v>0</v>
      </c>
      <c r="I86" s="72">
        <f t="shared" si="36"/>
        <v>0</v>
      </c>
      <c r="J86" s="72">
        <f t="shared" si="36"/>
        <v>0</v>
      </c>
      <c r="K86" s="72">
        <f t="shared" si="36"/>
        <v>0</v>
      </c>
      <c r="L86" s="72">
        <f t="shared" si="36"/>
        <v>0</v>
      </c>
      <c r="M86" s="72">
        <f t="shared" si="36"/>
        <v>0</v>
      </c>
      <c r="N86" s="72">
        <f t="shared" si="36"/>
        <v>0</v>
      </c>
      <c r="O86" s="72">
        <f t="shared" si="36"/>
        <v>0</v>
      </c>
      <c r="P86" s="72">
        <f t="shared" si="36"/>
        <v>0</v>
      </c>
      <c r="Q86" s="95"/>
      <c r="R86" s="18"/>
      <c r="W86" s="16">
        <f t="shared" si="28"/>
        <v>0</v>
      </c>
    </row>
    <row r="87" spans="1:30" s="6" customFormat="1" ht="15.6" hidden="1" customHeight="1" x14ac:dyDescent="0.3">
      <c r="A87" s="80"/>
      <c r="B87" s="97"/>
      <c r="C87" s="34"/>
      <c r="D87" s="34"/>
      <c r="E87" s="34"/>
      <c r="F87" s="63" t="s">
        <v>20</v>
      </c>
      <c r="G87" s="72">
        <f t="shared" ref="G87:H92" si="37">I87+K87+M87+O87</f>
        <v>0</v>
      </c>
      <c r="H87" s="72">
        <f t="shared" si="37"/>
        <v>0</v>
      </c>
      <c r="I87" s="72"/>
      <c r="J87" s="72"/>
      <c r="K87" s="72"/>
      <c r="L87" s="72"/>
      <c r="M87" s="72"/>
      <c r="N87" s="72"/>
      <c r="O87" s="72"/>
      <c r="P87" s="72"/>
      <c r="Q87" s="95"/>
      <c r="R87" s="18"/>
      <c r="W87" s="16">
        <f t="shared" si="28"/>
        <v>0</v>
      </c>
    </row>
    <row r="88" spans="1:30" ht="15.6" hidden="1" customHeight="1" x14ac:dyDescent="0.3">
      <c r="A88" s="80"/>
      <c r="B88" s="97"/>
      <c r="C88" s="34"/>
      <c r="D88" s="34"/>
      <c r="E88" s="34"/>
      <c r="F88" s="63" t="s">
        <v>22</v>
      </c>
      <c r="G88" s="72">
        <f t="shared" si="37"/>
        <v>0</v>
      </c>
      <c r="H88" s="72">
        <f t="shared" si="37"/>
        <v>0</v>
      </c>
      <c r="I88" s="72"/>
      <c r="J88" s="72"/>
      <c r="K88" s="72"/>
      <c r="L88" s="72"/>
      <c r="M88" s="72"/>
      <c r="N88" s="72"/>
      <c r="O88" s="72"/>
      <c r="P88" s="72"/>
      <c r="Q88" s="95"/>
      <c r="R88" s="18"/>
      <c r="W88" s="16">
        <f t="shared" si="28"/>
        <v>0</v>
      </c>
    </row>
    <row r="89" spans="1:30" ht="15.6" hidden="1" customHeight="1" x14ac:dyDescent="0.3">
      <c r="A89" s="80"/>
      <c r="B89" s="97"/>
      <c r="C89" s="34"/>
      <c r="D89" s="34"/>
      <c r="E89" s="34"/>
      <c r="F89" s="63" t="s">
        <v>23</v>
      </c>
      <c r="G89" s="72">
        <f t="shared" si="37"/>
        <v>0</v>
      </c>
      <c r="H89" s="72">
        <f t="shared" si="37"/>
        <v>0</v>
      </c>
      <c r="I89" s="72"/>
      <c r="J89" s="72"/>
      <c r="K89" s="72"/>
      <c r="L89" s="72"/>
      <c r="M89" s="72"/>
      <c r="N89" s="72"/>
      <c r="O89" s="72"/>
      <c r="P89" s="72"/>
      <c r="Q89" s="95"/>
      <c r="R89" s="18"/>
      <c r="W89" s="16">
        <f t="shared" si="28"/>
        <v>0</v>
      </c>
    </row>
    <row r="90" spans="1:30" ht="15.6" hidden="1" customHeight="1" x14ac:dyDescent="0.3">
      <c r="A90" s="80"/>
      <c r="B90" s="97"/>
      <c r="C90" s="34"/>
      <c r="D90" s="34"/>
      <c r="E90" s="34"/>
      <c r="F90" s="63" t="s">
        <v>24</v>
      </c>
      <c r="G90" s="72">
        <f t="shared" si="37"/>
        <v>0</v>
      </c>
      <c r="H90" s="72">
        <f t="shared" si="37"/>
        <v>0</v>
      </c>
      <c r="I90" s="72"/>
      <c r="J90" s="72"/>
      <c r="K90" s="72"/>
      <c r="L90" s="72"/>
      <c r="M90" s="72"/>
      <c r="N90" s="72"/>
      <c r="O90" s="72"/>
      <c r="P90" s="72"/>
      <c r="Q90" s="95"/>
      <c r="R90" s="18"/>
      <c r="W90" s="16">
        <f t="shared" si="28"/>
        <v>0</v>
      </c>
    </row>
    <row r="91" spans="1:30" ht="15.6" hidden="1" customHeight="1" x14ac:dyDescent="0.3">
      <c r="A91" s="80"/>
      <c r="B91" s="97"/>
      <c r="C91" s="34"/>
      <c r="D91" s="34"/>
      <c r="E91" s="34"/>
      <c r="F91" s="63" t="s">
        <v>25</v>
      </c>
      <c r="G91" s="72">
        <f t="shared" si="37"/>
        <v>0</v>
      </c>
      <c r="H91" s="72">
        <f t="shared" si="37"/>
        <v>0</v>
      </c>
      <c r="I91" s="72"/>
      <c r="J91" s="72"/>
      <c r="K91" s="72"/>
      <c r="L91" s="72"/>
      <c r="M91" s="72"/>
      <c r="N91" s="72"/>
      <c r="O91" s="72"/>
      <c r="P91" s="72"/>
      <c r="Q91" s="95"/>
      <c r="R91" s="18"/>
      <c r="W91" s="16">
        <f t="shared" si="28"/>
        <v>0</v>
      </c>
    </row>
    <row r="92" spans="1:30" ht="15.6" hidden="1" customHeight="1" x14ac:dyDescent="0.3">
      <c r="A92" s="80"/>
      <c r="B92" s="97"/>
      <c r="C92" s="34"/>
      <c r="D92" s="34"/>
      <c r="E92" s="34"/>
      <c r="F92" s="63" t="s">
        <v>26</v>
      </c>
      <c r="G92" s="72">
        <f t="shared" si="37"/>
        <v>0</v>
      </c>
      <c r="H92" s="72">
        <f t="shared" si="37"/>
        <v>0</v>
      </c>
      <c r="I92" s="72"/>
      <c r="J92" s="72"/>
      <c r="K92" s="72"/>
      <c r="L92" s="72"/>
      <c r="M92" s="72"/>
      <c r="N92" s="72"/>
      <c r="O92" s="72"/>
      <c r="P92" s="72"/>
      <c r="Q92" s="95"/>
      <c r="R92" s="18"/>
      <c r="W92" s="16">
        <f t="shared" si="28"/>
        <v>0</v>
      </c>
    </row>
    <row r="93" spans="1:30" ht="15.6" customHeight="1" x14ac:dyDescent="0.3">
      <c r="A93" s="80"/>
      <c r="B93" s="88" t="s">
        <v>50</v>
      </c>
      <c r="C93" s="35"/>
      <c r="D93" s="79" t="s">
        <v>51</v>
      </c>
      <c r="E93" s="79" t="s">
        <v>45</v>
      </c>
      <c r="F93" s="63" t="s">
        <v>18</v>
      </c>
      <c r="G93" s="72">
        <f>SUM(G94:G104)</f>
        <v>12175</v>
      </c>
      <c r="H93" s="72">
        <f t="shared" ref="H93:P93" si="38">SUM(H94:H104)</f>
        <v>1477.1</v>
      </c>
      <c r="I93" s="72">
        <f t="shared" si="38"/>
        <v>12095</v>
      </c>
      <c r="J93" s="72">
        <f t="shared" si="38"/>
        <v>1397.1</v>
      </c>
      <c r="K93" s="72">
        <f t="shared" si="38"/>
        <v>0</v>
      </c>
      <c r="L93" s="72">
        <f t="shared" si="38"/>
        <v>0</v>
      </c>
      <c r="M93" s="72">
        <f t="shared" si="38"/>
        <v>0</v>
      </c>
      <c r="N93" s="72">
        <f t="shared" si="38"/>
        <v>0</v>
      </c>
      <c r="O93" s="72">
        <f t="shared" si="38"/>
        <v>80</v>
      </c>
      <c r="P93" s="72">
        <f t="shared" si="38"/>
        <v>80</v>
      </c>
      <c r="Q93" s="95"/>
      <c r="R93" s="18"/>
      <c r="W93" s="16">
        <f t="shared" si="28"/>
        <v>10697.9</v>
      </c>
    </row>
    <row r="94" spans="1:30" s="6" customFormat="1" ht="15.6" x14ac:dyDescent="0.3">
      <c r="A94" s="80"/>
      <c r="B94" s="86"/>
      <c r="C94" s="34"/>
      <c r="D94" s="80"/>
      <c r="E94" s="80"/>
      <c r="F94" s="63" t="s">
        <v>20</v>
      </c>
      <c r="G94" s="72">
        <f t="shared" ref="G94:H104" si="39">I94+K94+M94+O94</f>
        <v>340</v>
      </c>
      <c r="H94" s="72">
        <f t="shared" si="39"/>
        <v>80</v>
      </c>
      <c r="I94" s="72">
        <v>260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80</v>
      </c>
      <c r="P94" s="72">
        <f>O94</f>
        <v>80</v>
      </c>
      <c r="Q94" s="95"/>
      <c r="R94" s="18"/>
      <c r="W94" s="16">
        <f t="shared" si="28"/>
        <v>260</v>
      </c>
    </row>
    <row r="95" spans="1:30" ht="15.6" x14ac:dyDescent="0.3">
      <c r="A95" s="80"/>
      <c r="B95" s="86"/>
      <c r="C95" s="82" t="s">
        <v>52</v>
      </c>
      <c r="D95" s="80"/>
      <c r="E95" s="80"/>
      <c r="F95" s="63" t="s">
        <v>22</v>
      </c>
      <c r="G95" s="72">
        <f t="shared" si="39"/>
        <v>1220</v>
      </c>
      <c r="H95" s="72">
        <f t="shared" si="39"/>
        <v>260</v>
      </c>
      <c r="I95" s="72">
        <f>J95+960</f>
        <v>1220</v>
      </c>
      <c r="J95" s="72">
        <v>260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  <c r="Q95" s="95"/>
      <c r="R95" s="18"/>
      <c r="W95" s="16">
        <f t="shared" si="28"/>
        <v>960</v>
      </c>
      <c r="AD95" s="32"/>
    </row>
    <row r="96" spans="1:30" ht="91.5" customHeight="1" x14ac:dyDescent="0.3">
      <c r="A96" s="80"/>
      <c r="B96" s="86"/>
      <c r="C96" s="82"/>
      <c r="D96" s="80"/>
      <c r="E96" s="80"/>
      <c r="F96" s="63" t="s">
        <v>23</v>
      </c>
      <c r="G96" s="72">
        <f t="shared" si="39"/>
        <v>554</v>
      </c>
      <c r="H96" s="72">
        <f t="shared" si="39"/>
        <v>260</v>
      </c>
      <c r="I96" s="72">
        <f>J96+294</f>
        <v>554</v>
      </c>
      <c r="J96" s="72">
        <v>260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  <c r="Q96" s="95"/>
      <c r="R96" s="18"/>
      <c r="W96" s="16">
        <f t="shared" si="28"/>
        <v>294</v>
      </c>
    </row>
    <row r="97" spans="1:24" ht="15.6" x14ac:dyDescent="0.3">
      <c r="A97" s="80"/>
      <c r="B97" s="86"/>
      <c r="C97" s="82"/>
      <c r="D97" s="80"/>
      <c r="E97" s="80"/>
      <c r="F97" s="63" t="s">
        <v>24</v>
      </c>
      <c r="G97" s="72">
        <f t="shared" si="39"/>
        <v>554</v>
      </c>
      <c r="H97" s="72">
        <f t="shared" si="39"/>
        <v>0</v>
      </c>
      <c r="I97" s="72">
        <f t="shared" ref="I97:I99" si="40">I96</f>
        <v>554</v>
      </c>
      <c r="J97" s="72">
        <f>260-260</f>
        <v>0</v>
      </c>
      <c r="K97" s="72">
        <v>0</v>
      </c>
      <c r="L97" s="72">
        <v>0</v>
      </c>
      <c r="M97" s="72">
        <v>0</v>
      </c>
      <c r="N97" s="72">
        <v>0</v>
      </c>
      <c r="O97" s="72">
        <f t="shared" ref="O97:O99" si="41">1.1*O96</f>
        <v>0</v>
      </c>
      <c r="P97" s="72">
        <v>0</v>
      </c>
      <c r="Q97" s="95"/>
      <c r="R97" s="18"/>
      <c r="W97" s="16">
        <f t="shared" si="28"/>
        <v>554</v>
      </c>
    </row>
    <row r="98" spans="1:24" ht="15.6" x14ac:dyDescent="0.3">
      <c r="A98" s="80"/>
      <c r="B98" s="86"/>
      <c r="C98" s="82"/>
      <c r="D98" s="80"/>
      <c r="E98" s="80"/>
      <c r="F98" s="63" t="s">
        <v>25</v>
      </c>
      <c r="G98" s="72">
        <f t="shared" si="39"/>
        <v>554</v>
      </c>
      <c r="H98" s="72">
        <f t="shared" si="39"/>
        <v>260</v>
      </c>
      <c r="I98" s="72">
        <f t="shared" si="40"/>
        <v>554</v>
      </c>
      <c r="J98" s="72">
        <v>260</v>
      </c>
      <c r="K98" s="72">
        <v>0</v>
      </c>
      <c r="L98" s="72">
        <v>0</v>
      </c>
      <c r="M98" s="72">
        <v>0</v>
      </c>
      <c r="N98" s="72">
        <v>0</v>
      </c>
      <c r="O98" s="72">
        <f t="shared" si="41"/>
        <v>0</v>
      </c>
      <c r="P98" s="72">
        <v>0</v>
      </c>
      <c r="Q98" s="95"/>
      <c r="R98" s="18"/>
      <c r="W98" s="16">
        <f t="shared" si="28"/>
        <v>294</v>
      </c>
    </row>
    <row r="99" spans="1:24" ht="15.6" x14ac:dyDescent="0.3">
      <c r="A99" s="80"/>
      <c r="B99" s="86"/>
      <c r="C99" s="82"/>
      <c r="D99" s="80"/>
      <c r="E99" s="80"/>
      <c r="F99" s="63" t="s">
        <v>26</v>
      </c>
      <c r="G99" s="72">
        <f t="shared" si="39"/>
        <v>554</v>
      </c>
      <c r="H99" s="72">
        <f t="shared" si="39"/>
        <v>132.1</v>
      </c>
      <c r="I99" s="72">
        <f t="shared" si="40"/>
        <v>554</v>
      </c>
      <c r="J99" s="72">
        <v>132.1</v>
      </c>
      <c r="K99" s="72">
        <v>0</v>
      </c>
      <c r="L99" s="72">
        <v>0</v>
      </c>
      <c r="M99" s="72">
        <v>0</v>
      </c>
      <c r="N99" s="72">
        <v>0</v>
      </c>
      <c r="O99" s="72">
        <f t="shared" si="41"/>
        <v>0</v>
      </c>
      <c r="P99" s="72">
        <v>0</v>
      </c>
      <c r="Q99" s="95"/>
      <c r="R99" s="18"/>
      <c r="W99" s="16">
        <f t="shared" si="28"/>
        <v>421.9</v>
      </c>
    </row>
    <row r="100" spans="1:24" ht="15.6" x14ac:dyDescent="0.3">
      <c r="A100" s="80"/>
      <c r="B100" s="86"/>
      <c r="C100" s="82"/>
      <c r="D100" s="80"/>
      <c r="E100" s="80"/>
      <c r="F100" s="63" t="s">
        <v>27</v>
      </c>
      <c r="G100" s="72">
        <f t="shared" si="39"/>
        <v>135</v>
      </c>
      <c r="H100" s="72">
        <f t="shared" si="39"/>
        <v>97</v>
      </c>
      <c r="I100" s="72">
        <v>135</v>
      </c>
      <c r="J100" s="72">
        <v>97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95"/>
      <c r="R100" s="18"/>
      <c r="W100" s="16">
        <f t="shared" si="28"/>
        <v>38</v>
      </c>
    </row>
    <row r="101" spans="1:24" ht="15.6" x14ac:dyDescent="0.3">
      <c r="A101" s="80"/>
      <c r="B101" s="86"/>
      <c r="C101" s="82"/>
      <c r="D101" s="80"/>
      <c r="E101" s="80"/>
      <c r="F101" s="63" t="s">
        <v>28</v>
      </c>
      <c r="G101" s="72">
        <f t="shared" si="39"/>
        <v>5987</v>
      </c>
      <c r="H101" s="72">
        <f t="shared" si="39"/>
        <v>97</v>
      </c>
      <c r="I101" s="72">
        <f>5530+97+360</f>
        <v>5987</v>
      </c>
      <c r="J101" s="72">
        <v>97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  <c r="Q101" s="95"/>
      <c r="R101" s="18"/>
      <c r="W101" s="16">
        <f t="shared" si="28"/>
        <v>5890</v>
      </c>
      <c r="X101" s="32">
        <f>I101-J101</f>
        <v>5890</v>
      </c>
    </row>
    <row r="102" spans="1:24" ht="15.6" x14ac:dyDescent="0.3">
      <c r="A102" s="80"/>
      <c r="B102" s="86"/>
      <c r="C102" s="82"/>
      <c r="D102" s="80"/>
      <c r="E102" s="80"/>
      <c r="F102" s="63" t="s">
        <v>29</v>
      </c>
      <c r="G102" s="72">
        <f t="shared" si="39"/>
        <v>759</v>
      </c>
      <c r="H102" s="72">
        <f t="shared" si="39"/>
        <v>97</v>
      </c>
      <c r="I102" s="72">
        <f>97+662</f>
        <v>759</v>
      </c>
      <c r="J102" s="72">
        <v>97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  <c r="Q102" s="95"/>
      <c r="R102" s="33">
        <f>I102-J102</f>
        <v>662</v>
      </c>
      <c r="W102" s="16">
        <f t="shared" si="28"/>
        <v>662</v>
      </c>
    </row>
    <row r="103" spans="1:24" ht="15.6" x14ac:dyDescent="0.3">
      <c r="A103" s="80"/>
      <c r="B103" s="86"/>
      <c r="C103" s="82"/>
      <c r="D103" s="80"/>
      <c r="E103" s="80"/>
      <c r="F103" s="63" t="s">
        <v>30</v>
      </c>
      <c r="G103" s="72">
        <f t="shared" si="39"/>
        <v>759</v>
      </c>
      <c r="H103" s="72">
        <f t="shared" si="39"/>
        <v>97</v>
      </c>
      <c r="I103" s="72">
        <v>759</v>
      </c>
      <c r="J103" s="72">
        <v>97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  <c r="Q103" s="95"/>
      <c r="R103" s="18"/>
      <c r="W103" s="16">
        <f t="shared" si="28"/>
        <v>662</v>
      </c>
    </row>
    <row r="104" spans="1:24" ht="15.6" x14ac:dyDescent="0.3">
      <c r="A104" s="80"/>
      <c r="B104" s="87"/>
      <c r="C104" s="82"/>
      <c r="D104" s="81"/>
      <c r="E104" s="81"/>
      <c r="F104" s="63" t="s">
        <v>31</v>
      </c>
      <c r="G104" s="72">
        <f t="shared" si="39"/>
        <v>759</v>
      </c>
      <c r="H104" s="72">
        <f t="shared" si="39"/>
        <v>97</v>
      </c>
      <c r="I104" s="72">
        <v>759</v>
      </c>
      <c r="J104" s="72">
        <v>97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95"/>
      <c r="R104" s="18"/>
      <c r="W104" s="16">
        <f t="shared" si="28"/>
        <v>662</v>
      </c>
    </row>
    <row r="105" spans="1:24" ht="15.75" customHeight="1" x14ac:dyDescent="0.3">
      <c r="A105" s="80"/>
      <c r="B105" s="88" t="s">
        <v>53</v>
      </c>
      <c r="F105" s="63" t="s">
        <v>18</v>
      </c>
      <c r="G105" s="72">
        <f>SUM(G106:G116)</f>
        <v>2088.239999999998</v>
      </c>
      <c r="H105" s="72">
        <f t="shared" ref="H105:P105" si="42">SUM(H106:H116)</f>
        <v>1871.94</v>
      </c>
      <c r="I105" s="72">
        <f t="shared" si="42"/>
        <v>2088.239999999998</v>
      </c>
      <c r="J105" s="72">
        <f t="shared" si="42"/>
        <v>1871.94</v>
      </c>
      <c r="K105" s="72">
        <f t="shared" si="42"/>
        <v>0</v>
      </c>
      <c r="L105" s="72">
        <f t="shared" si="42"/>
        <v>0</v>
      </c>
      <c r="M105" s="72">
        <f t="shared" si="42"/>
        <v>0</v>
      </c>
      <c r="N105" s="72">
        <f t="shared" si="42"/>
        <v>0</v>
      </c>
      <c r="O105" s="72">
        <f t="shared" si="42"/>
        <v>0</v>
      </c>
      <c r="P105" s="72">
        <f t="shared" si="42"/>
        <v>0</v>
      </c>
      <c r="Q105" s="95"/>
      <c r="R105" s="18"/>
      <c r="W105" s="16">
        <f t="shared" si="28"/>
        <v>216.29999999999791</v>
      </c>
    </row>
    <row r="106" spans="1:24" ht="30.75" customHeight="1" x14ac:dyDescent="0.3">
      <c r="A106" s="80"/>
      <c r="B106" s="86"/>
      <c r="C106" s="63" t="s">
        <v>54</v>
      </c>
      <c r="D106" s="79" t="s">
        <v>51</v>
      </c>
      <c r="E106" s="79" t="s">
        <v>45</v>
      </c>
      <c r="F106" s="63" t="s">
        <v>20</v>
      </c>
      <c r="G106" s="72">
        <f t="shared" ref="G106:H116" si="43">I106+K106+M106+O106</f>
        <v>155</v>
      </c>
      <c r="H106" s="72">
        <f t="shared" si="43"/>
        <v>155</v>
      </c>
      <c r="I106" s="72">
        <v>155</v>
      </c>
      <c r="J106" s="72">
        <v>155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  <c r="Q106" s="95"/>
      <c r="R106" s="18"/>
      <c r="W106" s="16">
        <f t="shared" si="28"/>
        <v>0</v>
      </c>
    </row>
    <row r="107" spans="1:24" ht="25.2" customHeight="1" x14ac:dyDescent="0.3">
      <c r="A107" s="80"/>
      <c r="B107" s="86"/>
      <c r="C107" s="79" t="s">
        <v>55</v>
      </c>
      <c r="D107" s="80"/>
      <c r="E107" s="80"/>
      <c r="F107" s="63" t="s">
        <v>22</v>
      </c>
      <c r="G107" s="72">
        <f t="shared" si="43"/>
        <v>155</v>
      </c>
      <c r="H107" s="72">
        <f t="shared" si="43"/>
        <v>155</v>
      </c>
      <c r="I107" s="72">
        <v>155</v>
      </c>
      <c r="J107" s="72">
        <v>155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  <c r="Q107" s="95"/>
      <c r="R107" s="18"/>
      <c r="W107" s="16">
        <f t="shared" si="28"/>
        <v>0</v>
      </c>
    </row>
    <row r="108" spans="1:24" ht="77.25" customHeight="1" x14ac:dyDescent="0.3">
      <c r="A108" s="80"/>
      <c r="B108" s="86"/>
      <c r="C108" s="80"/>
      <c r="D108" s="80"/>
      <c r="E108" s="80"/>
      <c r="F108" s="63" t="s">
        <v>23</v>
      </c>
      <c r="G108" s="72">
        <f t="shared" si="43"/>
        <v>155</v>
      </c>
      <c r="H108" s="72">
        <f t="shared" si="43"/>
        <v>155</v>
      </c>
      <c r="I108" s="72">
        <v>155</v>
      </c>
      <c r="J108" s="72">
        <v>155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95"/>
      <c r="R108" s="18"/>
      <c r="W108" s="16">
        <f t="shared" si="28"/>
        <v>0</v>
      </c>
    </row>
    <row r="109" spans="1:24" ht="15.6" x14ac:dyDescent="0.3">
      <c r="A109" s="80"/>
      <c r="B109" s="86"/>
      <c r="C109" s="80"/>
      <c r="D109" s="80"/>
      <c r="E109" s="80"/>
      <c r="F109" s="63" t="s">
        <v>24</v>
      </c>
      <c r="G109" s="72">
        <f t="shared" si="43"/>
        <v>161.19999999999999</v>
      </c>
      <c r="H109" s="72">
        <f t="shared" si="43"/>
        <v>161.19999999999999</v>
      </c>
      <c r="I109" s="72">
        <f>J109</f>
        <v>161.19999999999999</v>
      </c>
      <c r="J109" s="72">
        <v>161.19999999999999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  <c r="Q109" s="95"/>
      <c r="R109" s="18"/>
      <c r="W109" s="16">
        <f t="shared" si="28"/>
        <v>0</v>
      </c>
    </row>
    <row r="110" spans="1:24" ht="15.6" x14ac:dyDescent="0.3">
      <c r="A110" s="80"/>
      <c r="B110" s="86"/>
      <c r="C110" s="80"/>
      <c r="D110" s="80"/>
      <c r="E110" s="80"/>
      <c r="F110" s="63" t="s">
        <v>25</v>
      </c>
      <c r="G110" s="72">
        <f t="shared" si="43"/>
        <v>161.19999999999999</v>
      </c>
      <c r="H110" s="72">
        <f t="shared" si="43"/>
        <v>161.19999999999999</v>
      </c>
      <c r="I110" s="72">
        <f>I109</f>
        <v>161.19999999999999</v>
      </c>
      <c r="J110" s="72">
        <v>161.19999999999999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95"/>
      <c r="R110" s="18"/>
      <c r="W110" s="16">
        <f t="shared" si="28"/>
        <v>0</v>
      </c>
    </row>
    <row r="111" spans="1:24" ht="15.6" x14ac:dyDescent="0.3">
      <c r="A111" s="80"/>
      <c r="B111" s="86"/>
      <c r="C111" s="80"/>
      <c r="D111" s="80"/>
      <c r="E111" s="80"/>
      <c r="F111" s="63" t="s">
        <v>26</v>
      </c>
      <c r="G111" s="72">
        <f t="shared" si="43"/>
        <v>187.69999999999899</v>
      </c>
      <c r="H111" s="72">
        <f t="shared" si="43"/>
        <v>0</v>
      </c>
      <c r="I111" s="72">
        <f>187.699999999999</f>
        <v>187.69999999999899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95"/>
      <c r="R111" s="18"/>
      <c r="W111" s="16">
        <f t="shared" si="28"/>
        <v>187.69999999999899</v>
      </c>
    </row>
    <row r="112" spans="1:24" ht="15.6" x14ac:dyDescent="0.3">
      <c r="A112" s="80"/>
      <c r="B112" s="86"/>
      <c r="C112" s="80"/>
      <c r="D112" s="80"/>
      <c r="E112" s="80"/>
      <c r="F112" s="63" t="s">
        <v>27</v>
      </c>
      <c r="G112" s="72">
        <f t="shared" si="43"/>
        <v>187.69999999999899</v>
      </c>
      <c r="H112" s="72">
        <f t="shared" si="43"/>
        <v>187.7</v>
      </c>
      <c r="I112" s="72">
        <f>I111</f>
        <v>187.69999999999899</v>
      </c>
      <c r="J112" s="72">
        <v>187.7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95"/>
      <c r="R112" s="18"/>
      <c r="W112" s="16">
        <f t="shared" si="28"/>
        <v>-9.9475983006414026E-13</v>
      </c>
    </row>
    <row r="113" spans="1:27" ht="15.6" x14ac:dyDescent="0.3">
      <c r="A113" s="80"/>
      <c r="B113" s="86"/>
      <c r="C113" s="80"/>
      <c r="D113" s="80"/>
      <c r="E113" s="80"/>
      <c r="F113" s="63" t="s">
        <v>28</v>
      </c>
      <c r="G113" s="72">
        <f t="shared" si="43"/>
        <v>214.34</v>
      </c>
      <c r="H113" s="72">
        <f t="shared" si="43"/>
        <v>214.34</v>
      </c>
      <c r="I113" s="72">
        <v>214.34</v>
      </c>
      <c r="J113" s="72">
        <v>214.34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  <c r="Q113" s="95"/>
      <c r="R113" s="18"/>
      <c r="W113" s="16">
        <f t="shared" si="28"/>
        <v>0</v>
      </c>
    </row>
    <row r="114" spans="1:27" ht="15.6" x14ac:dyDescent="0.3">
      <c r="A114" s="80"/>
      <c r="B114" s="86"/>
      <c r="C114" s="80"/>
      <c r="D114" s="80"/>
      <c r="E114" s="80"/>
      <c r="F114" s="63" t="s">
        <v>29</v>
      </c>
      <c r="G114" s="72">
        <f t="shared" si="43"/>
        <v>227.5</v>
      </c>
      <c r="H114" s="72">
        <f t="shared" si="43"/>
        <v>227.5</v>
      </c>
      <c r="I114" s="72">
        <v>227.5</v>
      </c>
      <c r="J114" s="72">
        <v>227.5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95"/>
      <c r="R114" s="18"/>
      <c r="W114" s="16">
        <f t="shared" si="28"/>
        <v>0</v>
      </c>
    </row>
    <row r="115" spans="1:27" ht="15.6" x14ac:dyDescent="0.3">
      <c r="A115" s="80"/>
      <c r="B115" s="86"/>
      <c r="C115" s="80"/>
      <c r="D115" s="80"/>
      <c r="E115" s="80"/>
      <c r="F115" s="63" t="s">
        <v>30</v>
      </c>
      <c r="G115" s="72">
        <f t="shared" si="43"/>
        <v>241.8</v>
      </c>
      <c r="H115" s="72">
        <f t="shared" si="43"/>
        <v>227.5</v>
      </c>
      <c r="I115" s="72">
        <v>241.8</v>
      </c>
      <c r="J115" s="72">
        <v>227.5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95"/>
      <c r="R115" s="18"/>
      <c r="W115" s="16">
        <f t="shared" si="28"/>
        <v>14.300000000000011</v>
      </c>
    </row>
    <row r="116" spans="1:27" ht="15.6" x14ac:dyDescent="0.3">
      <c r="A116" s="80"/>
      <c r="B116" s="87"/>
      <c r="C116" s="81"/>
      <c r="D116" s="81"/>
      <c r="E116" s="81"/>
      <c r="F116" s="63" t="s">
        <v>31</v>
      </c>
      <c r="G116" s="72">
        <f t="shared" si="43"/>
        <v>241.8</v>
      </c>
      <c r="H116" s="72">
        <f t="shared" si="43"/>
        <v>227.5</v>
      </c>
      <c r="I116" s="72">
        <f t="shared" ref="I116" si="44">I115</f>
        <v>241.8</v>
      </c>
      <c r="J116" s="72">
        <v>227.5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96"/>
      <c r="R116" s="18"/>
      <c r="W116" s="16">
        <f t="shared" si="28"/>
        <v>14.300000000000011</v>
      </c>
    </row>
    <row r="117" spans="1:27" ht="15.6" x14ac:dyDescent="0.3">
      <c r="A117" s="128" t="s">
        <v>56</v>
      </c>
      <c r="B117" s="65" t="s">
        <v>57</v>
      </c>
      <c r="C117" s="64"/>
      <c r="D117" s="64"/>
      <c r="E117" s="64"/>
      <c r="F117" s="64" t="s">
        <v>18</v>
      </c>
      <c r="G117" s="11">
        <f>SUM(G118:G128)</f>
        <v>298425.98</v>
      </c>
      <c r="H117" s="11">
        <f t="shared" ref="H117:P117" si="45">SUM(H118:H128)</f>
        <v>256539.51999999984</v>
      </c>
      <c r="I117" s="11">
        <f>SUM(I118:I128)</f>
        <v>154818.40000000002</v>
      </c>
      <c r="J117" s="11">
        <f t="shared" si="45"/>
        <v>125570.2999999999</v>
      </c>
      <c r="K117" s="11">
        <f t="shared" si="45"/>
        <v>0</v>
      </c>
      <c r="L117" s="11">
        <f t="shared" si="45"/>
        <v>0</v>
      </c>
      <c r="M117" s="11">
        <f t="shared" si="45"/>
        <v>50044.37999999999</v>
      </c>
      <c r="N117" s="11">
        <f>SUM(N118:N128)</f>
        <v>37406.019999999982</v>
      </c>
      <c r="O117" s="11">
        <f t="shared" si="45"/>
        <v>93563.199999999953</v>
      </c>
      <c r="P117" s="11">
        <f t="shared" si="45"/>
        <v>93563.199999999953</v>
      </c>
      <c r="Q117" s="94" t="s">
        <v>33</v>
      </c>
      <c r="R117" s="18"/>
      <c r="W117" s="16">
        <f t="shared" si="28"/>
        <v>29248.100000000122</v>
      </c>
    </row>
    <row r="118" spans="1:27" s="13" customFormat="1" ht="36.75" customHeight="1" x14ac:dyDescent="0.3">
      <c r="A118" s="128"/>
      <c r="B118" s="130" t="s">
        <v>58</v>
      </c>
      <c r="C118" s="64" t="s">
        <v>40</v>
      </c>
      <c r="D118" s="74"/>
      <c r="E118" s="74"/>
      <c r="F118" s="64" t="s">
        <v>20</v>
      </c>
      <c r="G118" s="11">
        <f t="shared" ref="G118:G121" si="46">I118+K118+M118+O118</f>
        <v>18924</v>
      </c>
      <c r="H118" s="11">
        <f t="shared" ref="G118:H122" si="47">J118+L118+N118+P118</f>
        <v>17923.5</v>
      </c>
      <c r="I118" s="11">
        <f t="shared" ref="I118:I123" si="48">I130+I142+I149</f>
        <v>8382.7999999999993</v>
      </c>
      <c r="J118" s="11">
        <f>J130+J142+J149</f>
        <v>7582.3</v>
      </c>
      <c r="K118" s="11">
        <f t="shared" ref="K118:L123" si="49">K130+K142</f>
        <v>0</v>
      </c>
      <c r="L118" s="11">
        <f>L130+L142</f>
        <v>0</v>
      </c>
      <c r="M118" s="11">
        <f t="shared" ref="M118:P123" si="50">M130+M142</f>
        <v>1841.2</v>
      </c>
      <c r="N118" s="11">
        <f t="shared" si="50"/>
        <v>1641.2</v>
      </c>
      <c r="O118" s="11">
        <f t="shared" si="50"/>
        <v>8700</v>
      </c>
      <c r="P118" s="11">
        <f t="shared" si="50"/>
        <v>8700</v>
      </c>
      <c r="Q118" s="95"/>
      <c r="R118" s="18"/>
      <c r="W118" s="16">
        <f t="shared" si="28"/>
        <v>800.49999999999909</v>
      </c>
    </row>
    <row r="119" spans="1:27" s="13" customFormat="1" ht="15.75" customHeight="1" x14ac:dyDescent="0.3">
      <c r="A119" s="128"/>
      <c r="B119" s="131"/>
      <c r="C119" s="74" t="s">
        <v>59</v>
      </c>
      <c r="D119" s="75"/>
      <c r="E119" s="75"/>
      <c r="F119" s="64" t="s">
        <v>22</v>
      </c>
      <c r="G119" s="11">
        <f t="shared" si="46"/>
        <v>19836.999999999978</v>
      </c>
      <c r="H119" s="11">
        <f t="shared" si="47"/>
        <v>18611.699999999983</v>
      </c>
      <c r="I119" s="11">
        <f t="shared" si="48"/>
        <v>9108.7999999999993</v>
      </c>
      <c r="J119" s="11">
        <f>J131+J150</f>
        <v>8083.5</v>
      </c>
      <c r="K119" s="11">
        <f t="shared" si="49"/>
        <v>0</v>
      </c>
      <c r="L119" s="11">
        <f t="shared" si="49"/>
        <v>0</v>
      </c>
      <c r="M119" s="11">
        <f t="shared" si="50"/>
        <v>1652.8999999999899</v>
      </c>
      <c r="N119" s="11">
        <f t="shared" si="50"/>
        <v>1452.8999999999899</v>
      </c>
      <c r="O119" s="11">
        <f t="shared" si="50"/>
        <v>9075.2999999999902</v>
      </c>
      <c r="P119" s="11">
        <f t="shared" si="50"/>
        <v>9075.2999999999902</v>
      </c>
      <c r="Q119" s="95"/>
      <c r="R119" s="18"/>
      <c r="W119" s="16">
        <f t="shared" si="28"/>
        <v>1025.2999999999993</v>
      </c>
    </row>
    <row r="120" spans="1:27" s="13" customFormat="1" ht="15.6" x14ac:dyDescent="0.3">
      <c r="A120" s="128"/>
      <c r="B120" s="131"/>
      <c r="C120" s="75"/>
      <c r="D120" s="75"/>
      <c r="E120" s="75"/>
      <c r="F120" s="64" t="s">
        <v>23</v>
      </c>
      <c r="G120" s="11">
        <f t="shared" si="46"/>
        <v>22904.71999999999</v>
      </c>
      <c r="H120" s="11">
        <f t="shared" si="47"/>
        <v>22362.419999999991</v>
      </c>
      <c r="I120" s="11">
        <f t="shared" si="48"/>
        <v>10458.4</v>
      </c>
      <c r="J120" s="11">
        <f t="shared" ref="J120:J123" si="51">J132+J144+J151</f>
        <v>9916.1</v>
      </c>
      <c r="K120" s="11">
        <f t="shared" si="49"/>
        <v>0</v>
      </c>
      <c r="L120" s="11">
        <f t="shared" si="49"/>
        <v>0</v>
      </c>
      <c r="M120" s="11">
        <f t="shared" si="50"/>
        <v>2868.42</v>
      </c>
      <c r="N120" s="11">
        <f t="shared" si="50"/>
        <v>2868.42</v>
      </c>
      <c r="O120" s="11">
        <f t="shared" si="50"/>
        <v>9577.8999999999905</v>
      </c>
      <c r="P120" s="11">
        <f t="shared" si="50"/>
        <v>9577.8999999999905</v>
      </c>
      <c r="Q120" s="95"/>
      <c r="R120" s="18"/>
      <c r="S120" s="82" t="s">
        <v>58</v>
      </c>
      <c r="T120" s="82"/>
      <c r="W120" s="16">
        <f t="shared" si="28"/>
        <v>542.29999999999927</v>
      </c>
    </row>
    <row r="121" spans="1:27" s="13" customFormat="1" ht="15.6" x14ac:dyDescent="0.3">
      <c r="A121" s="128"/>
      <c r="B121" s="131"/>
      <c r="C121" s="75"/>
      <c r="D121" s="75"/>
      <c r="E121" s="75"/>
      <c r="F121" s="64" t="s">
        <v>24</v>
      </c>
      <c r="G121" s="11">
        <f t="shared" si="46"/>
        <v>24572.800000000003</v>
      </c>
      <c r="H121" s="11">
        <f t="shared" si="47"/>
        <v>23056</v>
      </c>
      <c r="I121" s="11">
        <f t="shared" si="48"/>
        <v>10458.4</v>
      </c>
      <c r="J121" s="11">
        <f t="shared" si="51"/>
        <v>8941.6</v>
      </c>
      <c r="K121" s="11">
        <f t="shared" si="49"/>
        <v>0</v>
      </c>
      <c r="L121" s="11">
        <f t="shared" si="49"/>
        <v>0</v>
      </c>
      <c r="M121" s="11">
        <f t="shared" si="50"/>
        <v>4700.8</v>
      </c>
      <c r="N121" s="11">
        <f t="shared" si="50"/>
        <v>4700.8</v>
      </c>
      <c r="O121" s="11">
        <f t="shared" si="50"/>
        <v>9413.6</v>
      </c>
      <c r="P121" s="11">
        <f t="shared" si="50"/>
        <v>9413.6</v>
      </c>
      <c r="Q121" s="95"/>
      <c r="R121" s="18"/>
      <c r="S121" s="82"/>
      <c r="T121" s="82"/>
      <c r="W121" s="16">
        <f t="shared" si="28"/>
        <v>1516.7999999999993</v>
      </c>
    </row>
    <row r="122" spans="1:27" s="13" customFormat="1" ht="15.6" x14ac:dyDescent="0.3">
      <c r="A122" s="128"/>
      <c r="B122" s="131"/>
      <c r="C122" s="75"/>
      <c r="D122" s="75"/>
      <c r="E122" s="75"/>
      <c r="F122" s="64" t="s">
        <v>25</v>
      </c>
      <c r="G122" s="11">
        <f t="shared" si="47"/>
        <v>22769.599999999991</v>
      </c>
      <c r="H122" s="11">
        <f t="shared" si="47"/>
        <v>21237.299999999981</v>
      </c>
      <c r="I122" s="11">
        <f t="shared" si="48"/>
        <v>10458.4</v>
      </c>
      <c r="J122" s="11">
        <f t="shared" si="51"/>
        <v>9206.4999999999909</v>
      </c>
      <c r="K122" s="11">
        <f t="shared" si="49"/>
        <v>0</v>
      </c>
      <c r="L122" s="11">
        <f t="shared" si="49"/>
        <v>0</v>
      </c>
      <c r="M122" s="11">
        <f t="shared" si="50"/>
        <v>4735.8</v>
      </c>
      <c r="N122" s="11">
        <f t="shared" si="50"/>
        <v>4455.3999999999996</v>
      </c>
      <c r="O122" s="11">
        <f t="shared" si="50"/>
        <v>7575.3999999999896</v>
      </c>
      <c r="P122" s="11">
        <f t="shared" si="50"/>
        <v>7575.3999999999896</v>
      </c>
      <c r="Q122" s="95"/>
      <c r="R122" s="18"/>
      <c r="S122" s="29">
        <f>H122/G122*100</f>
        <v>93.27041318248888</v>
      </c>
      <c r="T122" s="64" t="s">
        <v>25</v>
      </c>
      <c r="W122" s="16">
        <f t="shared" si="28"/>
        <v>1251.9000000000087</v>
      </c>
      <c r="Z122" s="36"/>
      <c r="AA122" s="36"/>
    </row>
    <row r="123" spans="1:27" s="13" customFormat="1" ht="15.6" x14ac:dyDescent="0.3">
      <c r="A123" s="128"/>
      <c r="B123" s="131"/>
      <c r="C123" s="75"/>
      <c r="D123" s="75"/>
      <c r="E123" s="75"/>
      <c r="F123" s="64" t="s">
        <v>26</v>
      </c>
      <c r="G123" s="11">
        <f t="shared" ref="G123:H128" si="52">I123+K123+M123+O123</f>
        <v>24579.3</v>
      </c>
      <c r="H123" s="11">
        <f t="shared" si="52"/>
        <v>19256.3</v>
      </c>
      <c r="I123" s="11">
        <f t="shared" si="48"/>
        <v>16993.3</v>
      </c>
      <c r="J123" s="11">
        <f t="shared" si="51"/>
        <v>13325</v>
      </c>
      <c r="K123" s="11">
        <f t="shared" si="49"/>
        <v>0</v>
      </c>
      <c r="L123" s="11">
        <f t="shared" si="49"/>
        <v>0</v>
      </c>
      <c r="M123" s="11">
        <f t="shared" si="50"/>
        <v>4735.8</v>
      </c>
      <c r="N123" s="11">
        <f t="shared" si="50"/>
        <v>3081.1</v>
      </c>
      <c r="O123" s="11">
        <f t="shared" si="50"/>
        <v>2850.2</v>
      </c>
      <c r="P123" s="11">
        <f t="shared" si="50"/>
        <v>2850.2</v>
      </c>
      <c r="Q123" s="95"/>
      <c r="R123" s="18"/>
      <c r="S123" s="29">
        <f t="shared" ref="S123:S128" si="53">H123/G123*100</f>
        <v>78.343565520580327</v>
      </c>
      <c r="T123" s="64" t="s">
        <v>26</v>
      </c>
      <c r="W123" s="16">
        <f t="shared" si="28"/>
        <v>3668.2999999999993</v>
      </c>
      <c r="Y123" s="16"/>
      <c r="Z123" s="36"/>
      <c r="AA123" s="36"/>
    </row>
    <row r="124" spans="1:27" s="13" customFormat="1" ht="15.6" x14ac:dyDescent="0.3">
      <c r="A124" s="128"/>
      <c r="B124" s="131"/>
      <c r="C124" s="75"/>
      <c r="D124" s="75"/>
      <c r="E124" s="75"/>
      <c r="F124" s="64" t="s">
        <v>27</v>
      </c>
      <c r="G124" s="11">
        <f t="shared" si="52"/>
        <v>30144.699999999997</v>
      </c>
      <c r="H124" s="11">
        <f t="shared" si="52"/>
        <v>25993.599999999999</v>
      </c>
      <c r="I124" s="11">
        <f t="shared" ref="I124:P128" si="54">I136+I155</f>
        <v>17893.3</v>
      </c>
      <c r="J124" s="11">
        <f t="shared" ref="J124:P124" si="55">J136+J155</f>
        <v>13742.2</v>
      </c>
      <c r="K124" s="11">
        <f t="shared" si="55"/>
        <v>0</v>
      </c>
      <c r="L124" s="11">
        <f t="shared" si="55"/>
        <v>0</v>
      </c>
      <c r="M124" s="11">
        <f t="shared" si="55"/>
        <v>4809</v>
      </c>
      <c r="N124" s="11">
        <f t="shared" si="55"/>
        <v>4809</v>
      </c>
      <c r="O124" s="11">
        <f t="shared" si="55"/>
        <v>7442.4</v>
      </c>
      <c r="P124" s="11">
        <f t="shared" si="55"/>
        <v>7442.4</v>
      </c>
      <c r="Q124" s="95"/>
      <c r="R124" s="18"/>
      <c r="S124" s="29">
        <f t="shared" si="53"/>
        <v>86.229420097065159</v>
      </c>
      <c r="T124" s="64" t="s">
        <v>27</v>
      </c>
      <c r="W124" s="16">
        <f t="shared" si="28"/>
        <v>4151.0999999999985</v>
      </c>
      <c r="Z124" s="36"/>
      <c r="AA124" s="36"/>
    </row>
    <row r="125" spans="1:27" s="13" customFormat="1" ht="15.6" x14ac:dyDescent="0.3">
      <c r="A125" s="128"/>
      <c r="B125" s="131"/>
      <c r="C125" s="75"/>
      <c r="D125" s="75"/>
      <c r="E125" s="75"/>
      <c r="F125" s="64" t="s">
        <v>28</v>
      </c>
      <c r="G125" s="11">
        <f t="shared" si="52"/>
        <v>32753.599999999999</v>
      </c>
      <c r="H125" s="11">
        <f t="shared" si="52"/>
        <v>28945.699999999903</v>
      </c>
      <c r="I125" s="11">
        <f t="shared" si="54"/>
        <v>17334.2</v>
      </c>
      <c r="J125" s="11">
        <f t="shared" si="54"/>
        <v>13526.299999999899</v>
      </c>
      <c r="K125" s="11">
        <f t="shared" si="54"/>
        <v>0</v>
      </c>
      <c r="L125" s="11">
        <f t="shared" si="54"/>
        <v>0</v>
      </c>
      <c r="M125" s="11">
        <f t="shared" si="54"/>
        <v>5307.3</v>
      </c>
      <c r="N125" s="11">
        <f t="shared" si="54"/>
        <v>5307.3</v>
      </c>
      <c r="O125" s="11">
        <f t="shared" si="54"/>
        <v>10112.1</v>
      </c>
      <c r="P125" s="11">
        <f t="shared" si="54"/>
        <v>10112.1</v>
      </c>
      <c r="Q125" s="95"/>
      <c r="R125" s="18"/>
      <c r="S125" s="29">
        <f t="shared" si="53"/>
        <v>88.37410238874476</v>
      </c>
      <c r="T125" s="64" t="s">
        <v>28</v>
      </c>
      <c r="W125" s="16">
        <f t="shared" si="28"/>
        <v>3807.9000000001015</v>
      </c>
      <c r="Z125" s="36"/>
      <c r="AA125" s="36"/>
    </row>
    <row r="126" spans="1:27" s="13" customFormat="1" ht="15.6" x14ac:dyDescent="0.3">
      <c r="A126" s="128"/>
      <c r="B126" s="131"/>
      <c r="C126" s="75"/>
      <c r="D126" s="75"/>
      <c r="E126" s="75"/>
      <c r="F126" s="64" t="s">
        <v>29</v>
      </c>
      <c r="G126" s="11">
        <f t="shared" si="52"/>
        <v>39536.86</v>
      </c>
      <c r="H126" s="11">
        <f t="shared" si="52"/>
        <v>35875.199999999997</v>
      </c>
      <c r="I126" s="11">
        <f t="shared" si="54"/>
        <v>17728.400000000001</v>
      </c>
      <c r="J126" s="11">
        <f t="shared" si="54"/>
        <v>14066.8</v>
      </c>
      <c r="K126" s="11">
        <f t="shared" si="54"/>
        <v>0</v>
      </c>
      <c r="L126" s="11">
        <f t="shared" si="54"/>
        <v>0</v>
      </c>
      <c r="M126" s="11">
        <f t="shared" si="54"/>
        <v>8778.56</v>
      </c>
      <c r="N126" s="11">
        <f t="shared" si="54"/>
        <v>8778.5</v>
      </c>
      <c r="O126" s="11">
        <f t="shared" si="54"/>
        <v>13029.9</v>
      </c>
      <c r="P126" s="11">
        <f t="shared" si="54"/>
        <v>13029.9</v>
      </c>
      <c r="Q126" s="95"/>
      <c r="R126" s="18"/>
      <c r="S126" s="29">
        <f t="shared" si="53"/>
        <v>90.738617077835713</v>
      </c>
      <c r="T126" s="64" t="s">
        <v>29</v>
      </c>
      <c r="W126" s="16">
        <f t="shared" ref="W126:W189" si="56">I126-J126</f>
        <v>3661.6000000000022</v>
      </c>
      <c r="Z126" s="36"/>
      <c r="AA126" s="36"/>
    </row>
    <row r="127" spans="1:27" s="13" customFormat="1" ht="15.6" x14ac:dyDescent="0.3">
      <c r="A127" s="128"/>
      <c r="B127" s="131"/>
      <c r="C127" s="75"/>
      <c r="D127" s="75"/>
      <c r="E127" s="75"/>
      <c r="F127" s="64" t="s">
        <v>30</v>
      </c>
      <c r="G127" s="11">
        <f t="shared" si="52"/>
        <v>31201.7</v>
      </c>
      <c r="H127" s="11">
        <f t="shared" si="52"/>
        <v>21638.9</v>
      </c>
      <c r="I127" s="11">
        <f t="shared" si="54"/>
        <v>18001.2</v>
      </c>
      <c r="J127" s="11">
        <f t="shared" si="54"/>
        <v>13590</v>
      </c>
      <c r="K127" s="11">
        <f t="shared" si="54"/>
        <v>0</v>
      </c>
      <c r="L127" s="11">
        <f t="shared" si="54"/>
        <v>0</v>
      </c>
      <c r="M127" s="11">
        <f t="shared" si="54"/>
        <v>5307.3</v>
      </c>
      <c r="N127" s="11">
        <f t="shared" si="54"/>
        <v>155.69999999999999</v>
      </c>
      <c r="O127" s="11">
        <f t="shared" si="54"/>
        <v>7893.2</v>
      </c>
      <c r="P127" s="11">
        <f t="shared" si="54"/>
        <v>7893.2</v>
      </c>
      <c r="Q127" s="95"/>
      <c r="R127" s="18"/>
      <c r="S127" s="29">
        <f t="shared" si="53"/>
        <v>69.351669941060905</v>
      </c>
      <c r="T127" s="64" t="s">
        <v>30</v>
      </c>
      <c r="W127" s="16">
        <f t="shared" si="56"/>
        <v>4411.2000000000007</v>
      </c>
      <c r="Z127" s="36"/>
      <c r="AA127" s="36"/>
    </row>
    <row r="128" spans="1:27" s="13" customFormat="1" ht="15.6" x14ac:dyDescent="0.3">
      <c r="A128" s="128"/>
      <c r="B128" s="132"/>
      <c r="C128" s="76"/>
      <c r="D128" s="76"/>
      <c r="E128" s="76"/>
      <c r="F128" s="64" t="s">
        <v>31</v>
      </c>
      <c r="G128" s="11">
        <f t="shared" si="52"/>
        <v>31201.7</v>
      </c>
      <c r="H128" s="11">
        <f t="shared" si="52"/>
        <v>21638.9</v>
      </c>
      <c r="I128" s="11">
        <f t="shared" si="54"/>
        <v>18001.2</v>
      </c>
      <c r="J128" s="11">
        <f t="shared" si="54"/>
        <v>13590</v>
      </c>
      <c r="K128" s="11">
        <f t="shared" si="54"/>
        <v>0</v>
      </c>
      <c r="L128" s="11">
        <f t="shared" si="54"/>
        <v>0</v>
      </c>
      <c r="M128" s="11">
        <f t="shared" si="54"/>
        <v>5307.3</v>
      </c>
      <c r="N128" s="11">
        <f t="shared" si="54"/>
        <v>155.69999999999999</v>
      </c>
      <c r="O128" s="11">
        <f t="shared" si="54"/>
        <v>7893.2</v>
      </c>
      <c r="P128" s="11">
        <f t="shared" si="54"/>
        <v>7893.2</v>
      </c>
      <c r="Q128" s="95"/>
      <c r="R128" s="18"/>
      <c r="S128" s="29">
        <f t="shared" si="53"/>
        <v>69.351669941060905</v>
      </c>
      <c r="T128" s="64" t="s">
        <v>31</v>
      </c>
      <c r="W128" s="16">
        <f t="shared" si="56"/>
        <v>4411.2000000000007</v>
      </c>
      <c r="Z128" s="36"/>
      <c r="AA128" s="36"/>
    </row>
    <row r="129" spans="1:26" s="13" customFormat="1" ht="15.6" x14ac:dyDescent="0.3">
      <c r="A129" s="128"/>
      <c r="B129" s="97" t="s">
        <v>60</v>
      </c>
      <c r="C129" s="35"/>
      <c r="D129" s="79" t="s">
        <v>44</v>
      </c>
      <c r="E129" s="79" t="s">
        <v>45</v>
      </c>
      <c r="F129" s="63" t="s">
        <v>18</v>
      </c>
      <c r="G129" s="72">
        <f>SUM(G130:G140)</f>
        <v>294372.98</v>
      </c>
      <c r="H129" s="72">
        <f t="shared" ref="H129:P129" si="57">SUM(H130:H140)</f>
        <v>256539.51999999984</v>
      </c>
      <c r="I129" s="72">
        <f t="shared" si="57"/>
        <v>150765.40000000002</v>
      </c>
      <c r="J129" s="72">
        <f t="shared" si="57"/>
        <v>125570.2999999999</v>
      </c>
      <c r="K129" s="72">
        <f t="shared" si="57"/>
        <v>0</v>
      </c>
      <c r="L129" s="72">
        <f t="shared" si="57"/>
        <v>0</v>
      </c>
      <c r="M129" s="72">
        <f t="shared" si="57"/>
        <v>50044.37999999999</v>
      </c>
      <c r="N129" s="72">
        <f>SUM(N130:N140)</f>
        <v>37406.019999999982</v>
      </c>
      <c r="O129" s="72">
        <f t="shared" si="57"/>
        <v>93563.199999999953</v>
      </c>
      <c r="P129" s="72">
        <f t="shared" si="57"/>
        <v>93563.199999999953</v>
      </c>
      <c r="Q129" s="95"/>
      <c r="R129" s="18"/>
      <c r="T129" s="64"/>
      <c r="W129" s="16">
        <f t="shared" si="56"/>
        <v>25195.100000000122</v>
      </c>
    </row>
    <row r="130" spans="1:26" s="6" customFormat="1" ht="57.75" customHeight="1" x14ac:dyDescent="0.3">
      <c r="A130" s="128"/>
      <c r="B130" s="97"/>
      <c r="C130" s="63" t="s">
        <v>61</v>
      </c>
      <c r="D130" s="80"/>
      <c r="E130" s="80"/>
      <c r="F130" s="63" t="s">
        <v>20</v>
      </c>
      <c r="G130" s="72">
        <f t="shared" ref="G130:G140" si="58">I130+K130+M130+O130</f>
        <v>18704</v>
      </c>
      <c r="H130" s="72">
        <f t="shared" ref="H130:H140" si="59">J130+L130+N130+P130</f>
        <v>17923.5</v>
      </c>
      <c r="I130" s="72">
        <f>743.799999999999+J130-163.3</f>
        <v>8162.7999999999984</v>
      </c>
      <c r="J130" s="72">
        <v>7582.3</v>
      </c>
      <c r="K130" s="72">
        <v>0</v>
      </c>
      <c r="L130" s="72">
        <v>0</v>
      </c>
      <c r="M130" s="72">
        <f t="shared" ref="M130:M131" si="60">200+N130</f>
        <v>1841.2</v>
      </c>
      <c r="N130" s="72">
        <v>1641.2</v>
      </c>
      <c r="O130" s="72">
        <v>8700</v>
      </c>
      <c r="P130" s="72">
        <f t="shared" ref="P130:P135" si="61">O130</f>
        <v>8700</v>
      </c>
      <c r="Q130" s="95"/>
      <c r="R130" s="18"/>
      <c r="W130" s="16">
        <f t="shared" si="56"/>
        <v>580.49999999999818</v>
      </c>
    </row>
    <row r="131" spans="1:26" ht="53.25" customHeight="1" x14ac:dyDescent="0.3">
      <c r="A131" s="128"/>
      <c r="B131" s="97"/>
      <c r="C131" s="63" t="s">
        <v>62</v>
      </c>
      <c r="D131" s="80"/>
      <c r="E131" s="80"/>
      <c r="F131" s="63" t="s">
        <v>22</v>
      </c>
      <c r="G131" s="72">
        <f t="shared" si="58"/>
        <v>19836.999999999978</v>
      </c>
      <c r="H131" s="72">
        <f t="shared" si="59"/>
        <v>18611.699999999983</v>
      </c>
      <c r="I131" s="72">
        <f>J131+75.9+193.4+46+230+480</f>
        <v>9108.7999999999993</v>
      </c>
      <c r="J131" s="72">
        <f>8393.5-250+30+30-120</f>
        <v>8083.5</v>
      </c>
      <c r="K131" s="72">
        <v>0</v>
      </c>
      <c r="L131" s="72">
        <v>0</v>
      </c>
      <c r="M131" s="72">
        <f t="shared" si="60"/>
        <v>1652.8999999999899</v>
      </c>
      <c r="N131" s="72">
        <f>3129.59999999999+15-1691.7</f>
        <v>1452.8999999999899</v>
      </c>
      <c r="O131" s="72">
        <f>9075.29999999999-O143</f>
        <v>9075.2999999999902</v>
      </c>
      <c r="P131" s="72">
        <f t="shared" si="61"/>
        <v>9075.2999999999902</v>
      </c>
      <c r="Q131" s="95"/>
      <c r="R131" s="18"/>
      <c r="W131" s="16">
        <f t="shared" si="56"/>
        <v>1025.2999999999993</v>
      </c>
    </row>
    <row r="132" spans="1:26" ht="15.6" customHeight="1" x14ac:dyDescent="0.3">
      <c r="A132" s="128"/>
      <c r="B132" s="97"/>
      <c r="C132" s="79" t="s">
        <v>63</v>
      </c>
      <c r="D132" s="80"/>
      <c r="E132" s="80"/>
      <c r="F132" s="63" t="s">
        <v>23</v>
      </c>
      <c r="G132" s="72">
        <f t="shared" si="58"/>
        <v>22904.71999999999</v>
      </c>
      <c r="H132" s="72">
        <f t="shared" si="59"/>
        <v>22362.419999999991</v>
      </c>
      <c r="I132" s="72">
        <f>J132+542.299999999999</f>
        <v>10458.4</v>
      </c>
      <c r="J132" s="72">
        <f>9812.6+103.5</f>
        <v>9916.1</v>
      </c>
      <c r="K132" s="72">
        <v>0</v>
      </c>
      <c r="L132" s="72">
        <v>0</v>
      </c>
      <c r="M132" s="72">
        <f>N132</f>
        <v>2868.42</v>
      </c>
      <c r="N132" s="72">
        <f>2868.42</f>
        <v>2868.42</v>
      </c>
      <c r="O132" s="72">
        <f>9577.89999999999-O144</f>
        <v>9577.8999999999905</v>
      </c>
      <c r="P132" s="72">
        <f t="shared" si="61"/>
        <v>9577.8999999999905</v>
      </c>
      <c r="Q132" s="95"/>
      <c r="R132" s="18"/>
      <c r="W132" s="16">
        <f t="shared" si="56"/>
        <v>542.29999999999927</v>
      </c>
    </row>
    <row r="133" spans="1:26" ht="15.6" x14ac:dyDescent="0.3">
      <c r="A133" s="128"/>
      <c r="B133" s="97"/>
      <c r="C133" s="80"/>
      <c r="D133" s="80"/>
      <c r="E133" s="80"/>
      <c r="F133" s="63" t="s">
        <v>24</v>
      </c>
      <c r="G133" s="72">
        <f t="shared" si="58"/>
        <v>24572.800000000003</v>
      </c>
      <c r="H133" s="72">
        <f t="shared" si="59"/>
        <v>23056</v>
      </c>
      <c r="I133" s="72">
        <f t="shared" ref="I133:I140" si="62">I132</f>
        <v>10458.4</v>
      </c>
      <c r="J133" s="72">
        <v>8941.6</v>
      </c>
      <c r="K133" s="72">
        <v>0</v>
      </c>
      <c r="L133" s="72">
        <v>0</v>
      </c>
      <c r="M133" s="72">
        <v>4700.8</v>
      </c>
      <c r="N133" s="72">
        <f>M133</f>
        <v>4700.8</v>
      </c>
      <c r="O133" s="72">
        <f>9413.6</f>
        <v>9413.6</v>
      </c>
      <c r="P133" s="72">
        <f t="shared" si="61"/>
        <v>9413.6</v>
      </c>
      <c r="Q133" s="95"/>
      <c r="R133" s="18"/>
      <c r="W133" s="16">
        <f t="shared" si="56"/>
        <v>1516.7999999999993</v>
      </c>
    </row>
    <row r="134" spans="1:26" ht="15.6" x14ac:dyDescent="0.3">
      <c r="A134" s="128"/>
      <c r="B134" s="97"/>
      <c r="C134" s="80"/>
      <c r="D134" s="80"/>
      <c r="E134" s="80"/>
      <c r="F134" s="63" t="s">
        <v>25</v>
      </c>
      <c r="G134" s="72">
        <f t="shared" si="58"/>
        <v>22769.599999999991</v>
      </c>
      <c r="H134" s="72">
        <f t="shared" si="59"/>
        <v>21237.299999999981</v>
      </c>
      <c r="I134" s="72">
        <f t="shared" si="62"/>
        <v>10458.4</v>
      </c>
      <c r="J134" s="72">
        <f>8877.39999999999+300+29.1</f>
        <v>9206.4999999999909</v>
      </c>
      <c r="K134" s="72">
        <v>0</v>
      </c>
      <c r="L134" s="72">
        <v>0</v>
      </c>
      <c r="M134" s="72">
        <v>4735.8</v>
      </c>
      <c r="N134" s="72">
        <v>4455.3999999999996</v>
      </c>
      <c r="O134" s="72">
        <f>7548.89999999999+26.5</f>
        <v>7575.3999999999896</v>
      </c>
      <c r="P134" s="72">
        <f t="shared" si="61"/>
        <v>7575.3999999999896</v>
      </c>
      <c r="Q134" s="95"/>
      <c r="R134" s="18"/>
      <c r="W134" s="16">
        <f t="shared" si="56"/>
        <v>1251.9000000000087</v>
      </c>
    </row>
    <row r="135" spans="1:26" ht="15.6" x14ac:dyDescent="0.3">
      <c r="A135" s="128"/>
      <c r="B135" s="97"/>
      <c r="C135" s="80"/>
      <c r="D135" s="80"/>
      <c r="E135" s="80"/>
      <c r="F135" s="63" t="s">
        <v>26</v>
      </c>
      <c r="G135" s="72">
        <f t="shared" si="58"/>
        <v>24579.3</v>
      </c>
      <c r="H135" s="72">
        <f t="shared" si="59"/>
        <v>19256.3</v>
      </c>
      <c r="I135" s="72">
        <v>16993.3</v>
      </c>
      <c r="J135" s="72">
        <v>13325</v>
      </c>
      <c r="K135" s="72">
        <v>0</v>
      </c>
      <c r="L135" s="72">
        <v>0</v>
      </c>
      <c r="M135" s="72">
        <f t="shared" ref="M135:M140" si="63">M134</f>
        <v>4735.8</v>
      </c>
      <c r="N135" s="72">
        <v>3081.1</v>
      </c>
      <c r="O135" s="72">
        <v>2850.2</v>
      </c>
      <c r="P135" s="72">
        <f t="shared" si="61"/>
        <v>2850.2</v>
      </c>
      <c r="Q135" s="95"/>
      <c r="R135" s="33">
        <f>I135-J135</f>
        <v>3668.2999999999993</v>
      </c>
      <c r="W135" s="16">
        <f t="shared" si="56"/>
        <v>3668.2999999999993</v>
      </c>
      <c r="Y135" s="32"/>
      <c r="Z135" s="32"/>
    </row>
    <row r="136" spans="1:26" ht="15.6" x14ac:dyDescent="0.3">
      <c r="A136" s="128"/>
      <c r="B136" s="97"/>
      <c r="C136" s="80"/>
      <c r="D136" s="80"/>
      <c r="E136" s="80"/>
      <c r="F136" s="63" t="s">
        <v>27</v>
      </c>
      <c r="G136" s="72">
        <f t="shared" si="58"/>
        <v>29244.699999999997</v>
      </c>
      <c r="H136" s="72">
        <f t="shared" si="59"/>
        <v>25993.599999999999</v>
      </c>
      <c r="I136" s="72">
        <f t="shared" si="62"/>
        <v>16993.3</v>
      </c>
      <c r="J136" s="72">
        <v>13742.2</v>
      </c>
      <c r="K136" s="72">
        <v>0</v>
      </c>
      <c r="L136" s="72">
        <v>0</v>
      </c>
      <c r="M136" s="72">
        <f t="shared" ref="M136:M137" si="64">N136</f>
        <v>4809</v>
      </c>
      <c r="N136" s="72">
        <v>4809</v>
      </c>
      <c r="O136" s="72">
        <f t="shared" ref="O136:O140" si="65">P136</f>
        <v>7442.4</v>
      </c>
      <c r="P136" s="72">
        <v>7442.4</v>
      </c>
      <c r="Q136" s="95"/>
      <c r="R136" s="18"/>
      <c r="W136" s="16">
        <f t="shared" si="56"/>
        <v>3251.0999999999985</v>
      </c>
    </row>
    <row r="137" spans="1:26" ht="15.6" x14ac:dyDescent="0.3">
      <c r="A137" s="128"/>
      <c r="B137" s="97"/>
      <c r="C137" s="80"/>
      <c r="D137" s="80"/>
      <c r="E137" s="80"/>
      <c r="F137" s="63" t="s">
        <v>28</v>
      </c>
      <c r="G137" s="72">
        <f t="shared" si="58"/>
        <v>32520.6</v>
      </c>
      <c r="H137" s="72">
        <f t="shared" si="59"/>
        <v>28945.699999999903</v>
      </c>
      <c r="I137" s="72">
        <f>3600+13501.2</f>
        <v>17101.2</v>
      </c>
      <c r="J137" s="72">
        <f>13526.2999999999</f>
        <v>13526.299999999899</v>
      </c>
      <c r="K137" s="72">
        <v>0</v>
      </c>
      <c r="L137" s="72">
        <v>0</v>
      </c>
      <c r="M137" s="72">
        <f t="shared" si="64"/>
        <v>5307.3</v>
      </c>
      <c r="N137" s="72">
        <f>5307.3</f>
        <v>5307.3</v>
      </c>
      <c r="O137" s="72">
        <f t="shared" si="65"/>
        <v>10112.1</v>
      </c>
      <c r="P137" s="72">
        <v>10112.1</v>
      </c>
      <c r="Q137" s="95"/>
      <c r="R137" s="18"/>
      <c r="W137" s="16">
        <f t="shared" si="56"/>
        <v>3574.9000000001015</v>
      </c>
      <c r="X137" s="32">
        <f>I137-J137</f>
        <v>3574.9000000001015</v>
      </c>
    </row>
    <row r="138" spans="1:26" ht="15.6" x14ac:dyDescent="0.3">
      <c r="A138" s="128"/>
      <c r="B138" s="97"/>
      <c r="C138" s="80"/>
      <c r="D138" s="80"/>
      <c r="E138" s="80"/>
      <c r="F138" s="63" t="s">
        <v>29</v>
      </c>
      <c r="G138" s="72">
        <f t="shared" si="58"/>
        <v>38636.86</v>
      </c>
      <c r="H138" s="72">
        <f t="shared" si="59"/>
        <v>35875.199999999997</v>
      </c>
      <c r="I138" s="72">
        <f>I137-272.8</f>
        <v>16828.400000000001</v>
      </c>
      <c r="J138" s="72">
        <v>14066.8</v>
      </c>
      <c r="K138" s="72">
        <v>0</v>
      </c>
      <c r="L138" s="72">
        <v>0</v>
      </c>
      <c r="M138" s="72">
        <f>8929.1-150.54</f>
        <v>8778.56</v>
      </c>
      <c r="N138" s="72">
        <v>8778.5</v>
      </c>
      <c r="O138" s="72">
        <v>13029.9</v>
      </c>
      <c r="P138" s="72">
        <v>13029.9</v>
      </c>
      <c r="Q138" s="95"/>
      <c r="R138" s="33">
        <f>I138-J138</f>
        <v>2761.6000000000022</v>
      </c>
      <c r="S138" s="32">
        <f>I138-J138</f>
        <v>2761.6000000000022</v>
      </c>
      <c r="W138" s="16">
        <f t="shared" si="56"/>
        <v>2761.6000000000022</v>
      </c>
    </row>
    <row r="139" spans="1:26" ht="15.6" x14ac:dyDescent="0.3">
      <c r="A139" s="128"/>
      <c r="B139" s="97"/>
      <c r="C139" s="80"/>
      <c r="D139" s="80"/>
      <c r="E139" s="80"/>
      <c r="F139" s="63" t="s">
        <v>30</v>
      </c>
      <c r="G139" s="72">
        <f t="shared" si="58"/>
        <v>30301.7</v>
      </c>
      <c r="H139" s="72">
        <f t="shared" si="59"/>
        <v>21638.9</v>
      </c>
      <c r="I139" s="72">
        <v>17101.2</v>
      </c>
      <c r="J139" s="72">
        <f t="shared" ref="J139:J140" si="66">13384.5+205.5</f>
        <v>13590</v>
      </c>
      <c r="K139" s="72">
        <v>0</v>
      </c>
      <c r="L139" s="72">
        <v>0</v>
      </c>
      <c r="M139" s="72">
        <v>5307.3</v>
      </c>
      <c r="N139" s="72">
        <f t="shared" ref="N139" si="67">94.7+61</f>
        <v>155.69999999999999</v>
      </c>
      <c r="O139" s="72">
        <f t="shared" si="65"/>
        <v>7893.2</v>
      </c>
      <c r="P139" s="72">
        <v>7893.2</v>
      </c>
      <c r="Q139" s="95"/>
      <c r="R139" s="18"/>
      <c r="W139" s="16">
        <f t="shared" si="56"/>
        <v>3511.2000000000007</v>
      </c>
    </row>
    <row r="140" spans="1:26" ht="37.950000000000003" customHeight="1" x14ac:dyDescent="0.3">
      <c r="A140" s="128"/>
      <c r="B140" s="97"/>
      <c r="C140" s="81"/>
      <c r="D140" s="81"/>
      <c r="E140" s="81"/>
      <c r="F140" s="63" t="s">
        <v>31</v>
      </c>
      <c r="G140" s="72">
        <f t="shared" si="58"/>
        <v>30301.7</v>
      </c>
      <c r="H140" s="72">
        <f t="shared" si="59"/>
        <v>21638.9</v>
      </c>
      <c r="I140" s="72">
        <f t="shared" si="62"/>
        <v>17101.2</v>
      </c>
      <c r="J140" s="72">
        <f t="shared" si="66"/>
        <v>13590</v>
      </c>
      <c r="K140" s="72">
        <v>0</v>
      </c>
      <c r="L140" s="72">
        <v>0</v>
      </c>
      <c r="M140" s="72">
        <f t="shared" si="63"/>
        <v>5307.3</v>
      </c>
      <c r="N140" s="72">
        <v>155.69999999999999</v>
      </c>
      <c r="O140" s="72">
        <f t="shared" si="65"/>
        <v>7893.2</v>
      </c>
      <c r="P140" s="72">
        <v>7893.2</v>
      </c>
      <c r="Q140" s="95"/>
      <c r="R140" s="18"/>
      <c r="W140" s="16">
        <f t="shared" si="56"/>
        <v>3511.2000000000007</v>
      </c>
    </row>
    <row r="141" spans="1:26" s="13" customFormat="1" ht="15.6" x14ac:dyDescent="0.3">
      <c r="A141" s="128"/>
      <c r="B141" s="88" t="s">
        <v>64</v>
      </c>
      <c r="C141" s="79" t="s">
        <v>65</v>
      </c>
      <c r="D141" s="60"/>
      <c r="E141" s="60"/>
      <c r="F141" s="63" t="s">
        <v>18</v>
      </c>
      <c r="G141" s="72">
        <f>SUM(G142:G147)</f>
        <v>220</v>
      </c>
      <c r="H141" s="72">
        <f>SUM(H142:H147)</f>
        <v>0</v>
      </c>
      <c r="I141" s="72">
        <f t="shared" ref="I141:N141" si="68">SUM(I142:I147)</f>
        <v>220</v>
      </c>
      <c r="J141" s="72">
        <f>SUM(J142:J147)</f>
        <v>0</v>
      </c>
      <c r="K141" s="72">
        <f t="shared" si="68"/>
        <v>0</v>
      </c>
      <c r="L141" s="72">
        <f t="shared" si="68"/>
        <v>0</v>
      </c>
      <c r="M141" s="72">
        <f t="shared" si="68"/>
        <v>0</v>
      </c>
      <c r="N141" s="72">
        <f t="shared" si="68"/>
        <v>0</v>
      </c>
      <c r="O141" s="72">
        <f>SUM(O142:O147)</f>
        <v>0</v>
      </c>
      <c r="P141" s="72">
        <f>SUM(P142:P147)</f>
        <v>0</v>
      </c>
      <c r="Q141" s="95"/>
      <c r="R141" s="18"/>
      <c r="W141" s="16">
        <f t="shared" si="56"/>
        <v>220</v>
      </c>
    </row>
    <row r="142" spans="1:26" s="31" customFormat="1" ht="88.2" customHeight="1" x14ac:dyDescent="0.3">
      <c r="A142" s="128"/>
      <c r="B142" s="86"/>
      <c r="C142" s="80"/>
      <c r="D142" s="61"/>
      <c r="E142" s="61"/>
      <c r="F142" s="63" t="s">
        <v>20</v>
      </c>
      <c r="G142" s="72">
        <f>I142+K142+M142+O142</f>
        <v>220</v>
      </c>
      <c r="H142" s="72">
        <f>J142+L142+N142+P142</f>
        <v>0</v>
      </c>
      <c r="I142" s="72">
        <v>220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f>O142</f>
        <v>0</v>
      </c>
      <c r="Q142" s="95"/>
      <c r="R142" s="37"/>
      <c r="W142" s="16">
        <f t="shared" si="56"/>
        <v>220</v>
      </c>
    </row>
    <row r="143" spans="1:26" ht="76.2" customHeight="1" x14ac:dyDescent="0.3">
      <c r="A143" s="128"/>
      <c r="B143" s="86"/>
      <c r="C143" s="80"/>
      <c r="D143" s="61"/>
      <c r="E143" s="61"/>
      <c r="F143" s="63" t="s">
        <v>22</v>
      </c>
      <c r="G143" s="107" t="s">
        <v>66</v>
      </c>
      <c r="H143" s="108"/>
      <c r="I143" s="108"/>
      <c r="J143" s="108"/>
      <c r="K143" s="108"/>
      <c r="L143" s="108"/>
      <c r="M143" s="108"/>
      <c r="N143" s="108"/>
      <c r="O143" s="108"/>
      <c r="P143" s="109"/>
      <c r="Q143" s="95"/>
      <c r="R143" s="18"/>
      <c r="W143" s="16">
        <f t="shared" si="56"/>
        <v>0</v>
      </c>
    </row>
    <row r="144" spans="1:26" ht="15.6" hidden="1" x14ac:dyDescent="0.3">
      <c r="A144" s="128"/>
      <c r="B144" s="86"/>
      <c r="C144" s="61"/>
      <c r="D144" s="61"/>
      <c r="E144" s="61"/>
      <c r="F144" s="63" t="s">
        <v>23</v>
      </c>
      <c r="G144" s="110"/>
      <c r="H144" s="111"/>
      <c r="I144" s="111"/>
      <c r="J144" s="111"/>
      <c r="K144" s="111"/>
      <c r="L144" s="111"/>
      <c r="M144" s="111"/>
      <c r="N144" s="111"/>
      <c r="O144" s="111"/>
      <c r="P144" s="112"/>
      <c r="Q144" s="95"/>
      <c r="R144" s="18"/>
      <c r="W144" s="16">
        <f t="shared" si="56"/>
        <v>0</v>
      </c>
    </row>
    <row r="145" spans="1:23" ht="15.6" hidden="1" x14ac:dyDescent="0.3">
      <c r="A145" s="128"/>
      <c r="B145" s="86"/>
      <c r="C145" s="61"/>
      <c r="D145" s="61"/>
      <c r="E145" s="61"/>
      <c r="F145" s="63" t="s">
        <v>24</v>
      </c>
      <c r="G145" s="110"/>
      <c r="H145" s="111"/>
      <c r="I145" s="111"/>
      <c r="J145" s="111"/>
      <c r="K145" s="111"/>
      <c r="L145" s="111"/>
      <c r="M145" s="111"/>
      <c r="N145" s="111"/>
      <c r="O145" s="111"/>
      <c r="P145" s="112"/>
      <c r="Q145" s="95"/>
      <c r="R145" s="18"/>
      <c r="W145" s="16">
        <f t="shared" si="56"/>
        <v>0</v>
      </c>
    </row>
    <row r="146" spans="1:23" ht="15.6" hidden="1" x14ac:dyDescent="0.3">
      <c r="A146" s="128"/>
      <c r="B146" s="86"/>
      <c r="C146" s="61"/>
      <c r="D146" s="61"/>
      <c r="E146" s="61"/>
      <c r="F146" s="63" t="s">
        <v>25</v>
      </c>
      <c r="G146" s="110"/>
      <c r="H146" s="111"/>
      <c r="I146" s="111"/>
      <c r="J146" s="111"/>
      <c r="K146" s="111"/>
      <c r="L146" s="111"/>
      <c r="M146" s="111"/>
      <c r="N146" s="111"/>
      <c r="O146" s="111"/>
      <c r="P146" s="112"/>
      <c r="Q146" s="95"/>
      <c r="R146" s="18"/>
      <c r="W146" s="16">
        <f t="shared" si="56"/>
        <v>0</v>
      </c>
    </row>
    <row r="147" spans="1:23" ht="15.6" hidden="1" x14ac:dyDescent="0.3">
      <c r="A147" s="129"/>
      <c r="B147" s="87"/>
      <c r="C147" s="62"/>
      <c r="D147" s="62"/>
      <c r="E147" s="62"/>
      <c r="F147" s="63" t="s">
        <v>26</v>
      </c>
      <c r="G147" s="113"/>
      <c r="H147" s="114"/>
      <c r="I147" s="114"/>
      <c r="J147" s="114"/>
      <c r="K147" s="114"/>
      <c r="L147" s="114"/>
      <c r="M147" s="114"/>
      <c r="N147" s="114"/>
      <c r="O147" s="114"/>
      <c r="P147" s="115"/>
      <c r="Q147" s="96"/>
      <c r="R147" s="18"/>
      <c r="W147" s="16">
        <f t="shared" si="56"/>
        <v>0</v>
      </c>
    </row>
    <row r="148" spans="1:23" ht="15.6" x14ac:dyDescent="0.3">
      <c r="A148" s="71"/>
      <c r="B148" s="88" t="s">
        <v>67</v>
      </c>
      <c r="C148" s="79" t="s">
        <v>65</v>
      </c>
      <c r="D148" s="79" t="s">
        <v>51</v>
      </c>
      <c r="E148" s="79" t="s">
        <v>45</v>
      </c>
      <c r="F148" s="63" t="s">
        <v>18</v>
      </c>
      <c r="G148" s="11">
        <f>SUM(G149:G159)</f>
        <v>3833</v>
      </c>
      <c r="H148" s="11">
        <f t="shared" ref="H148:P148" si="69">SUM(H149:H159)</f>
        <v>0</v>
      </c>
      <c r="I148" s="11">
        <f t="shared" si="69"/>
        <v>3833</v>
      </c>
      <c r="J148" s="11">
        <f t="shared" si="69"/>
        <v>0</v>
      </c>
      <c r="K148" s="11">
        <f t="shared" si="69"/>
        <v>0</v>
      </c>
      <c r="L148" s="11">
        <f t="shared" si="69"/>
        <v>0</v>
      </c>
      <c r="M148" s="11">
        <f t="shared" si="69"/>
        <v>0</v>
      </c>
      <c r="N148" s="11">
        <f t="shared" si="69"/>
        <v>0</v>
      </c>
      <c r="O148" s="11">
        <f t="shared" si="69"/>
        <v>0</v>
      </c>
      <c r="P148" s="11">
        <f t="shared" si="69"/>
        <v>0</v>
      </c>
      <c r="Q148" s="66"/>
      <c r="R148" s="18"/>
      <c r="W148" s="16">
        <f t="shared" si="56"/>
        <v>3833</v>
      </c>
    </row>
    <row r="149" spans="1:23" s="6" customFormat="1" ht="15.6" customHeight="1" x14ac:dyDescent="0.3">
      <c r="A149" s="71"/>
      <c r="B149" s="86"/>
      <c r="C149" s="80"/>
      <c r="D149" s="80"/>
      <c r="E149" s="80"/>
      <c r="F149" s="63" t="s">
        <v>20</v>
      </c>
      <c r="G149" s="11">
        <f t="shared" ref="G149:G159" si="70">I149+K149+M149+O149</f>
        <v>0</v>
      </c>
      <c r="H149" s="11">
        <f t="shared" ref="H149:H159" si="71">J149+L149+N149+P149</f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66"/>
      <c r="R149" s="18"/>
      <c r="W149" s="16">
        <f t="shared" si="56"/>
        <v>0</v>
      </c>
    </row>
    <row r="150" spans="1:23" ht="94.5" customHeight="1" x14ac:dyDescent="0.3">
      <c r="A150" s="71"/>
      <c r="B150" s="86"/>
      <c r="C150" s="80"/>
      <c r="D150" s="80"/>
      <c r="E150" s="80"/>
      <c r="F150" s="63" t="s">
        <v>22</v>
      </c>
      <c r="G150" s="11">
        <f t="shared" si="70"/>
        <v>0</v>
      </c>
      <c r="H150" s="11">
        <f t="shared" si="71"/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  <c r="Q150" s="66"/>
      <c r="R150" s="18"/>
      <c r="W150" s="16">
        <f t="shared" si="56"/>
        <v>0</v>
      </c>
    </row>
    <row r="151" spans="1:23" ht="15.6" x14ac:dyDescent="0.3">
      <c r="A151" s="71"/>
      <c r="B151" s="86"/>
      <c r="C151" s="80"/>
      <c r="D151" s="80"/>
      <c r="E151" s="80"/>
      <c r="F151" s="63" t="s">
        <v>23</v>
      </c>
      <c r="G151" s="11">
        <f t="shared" si="70"/>
        <v>0</v>
      </c>
      <c r="H151" s="11">
        <f t="shared" si="71"/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66"/>
      <c r="R151" s="18"/>
      <c r="W151" s="16">
        <f t="shared" si="56"/>
        <v>0</v>
      </c>
    </row>
    <row r="152" spans="1:23" ht="15.6" x14ac:dyDescent="0.3">
      <c r="A152" s="71"/>
      <c r="B152" s="86"/>
      <c r="C152" s="80"/>
      <c r="D152" s="80"/>
      <c r="E152" s="80"/>
      <c r="F152" s="63" t="s">
        <v>24</v>
      </c>
      <c r="G152" s="11">
        <f t="shared" si="70"/>
        <v>0</v>
      </c>
      <c r="H152" s="11">
        <f t="shared" si="71"/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0</v>
      </c>
      <c r="Q152" s="66"/>
      <c r="R152" s="18"/>
      <c r="W152" s="16">
        <f t="shared" si="56"/>
        <v>0</v>
      </c>
    </row>
    <row r="153" spans="1:23" ht="15.6" x14ac:dyDescent="0.3">
      <c r="A153" s="71"/>
      <c r="B153" s="86"/>
      <c r="C153" s="80"/>
      <c r="D153" s="80"/>
      <c r="E153" s="80"/>
      <c r="F153" s="63" t="s">
        <v>25</v>
      </c>
      <c r="G153" s="11">
        <f t="shared" si="70"/>
        <v>0</v>
      </c>
      <c r="H153" s="11">
        <f t="shared" si="71"/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66"/>
      <c r="R153" s="18"/>
      <c r="W153" s="16">
        <f t="shared" si="56"/>
        <v>0</v>
      </c>
    </row>
    <row r="154" spans="1:23" ht="15.6" x14ac:dyDescent="0.3">
      <c r="A154" s="71"/>
      <c r="B154" s="86"/>
      <c r="C154" s="80"/>
      <c r="D154" s="80"/>
      <c r="E154" s="80"/>
      <c r="F154" s="63" t="s">
        <v>26</v>
      </c>
      <c r="G154" s="11">
        <f t="shared" si="70"/>
        <v>0</v>
      </c>
      <c r="H154" s="11">
        <f t="shared" si="71"/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66"/>
      <c r="R154" s="18"/>
      <c r="W154" s="16">
        <f t="shared" si="56"/>
        <v>0</v>
      </c>
    </row>
    <row r="155" spans="1:23" ht="15.6" x14ac:dyDescent="0.3">
      <c r="A155" s="71"/>
      <c r="B155" s="86"/>
      <c r="C155" s="80"/>
      <c r="D155" s="80"/>
      <c r="E155" s="80"/>
      <c r="F155" s="63" t="s">
        <v>27</v>
      </c>
      <c r="G155" s="11">
        <f t="shared" si="70"/>
        <v>900</v>
      </c>
      <c r="H155" s="11">
        <f t="shared" si="71"/>
        <v>0</v>
      </c>
      <c r="I155" s="72">
        <v>900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  <c r="Q155" s="66"/>
      <c r="R155" s="18"/>
      <c r="W155" s="16">
        <f t="shared" si="56"/>
        <v>900</v>
      </c>
    </row>
    <row r="156" spans="1:23" ht="15.6" x14ac:dyDescent="0.3">
      <c r="A156" s="71"/>
      <c r="B156" s="86"/>
      <c r="C156" s="80"/>
      <c r="D156" s="80"/>
      <c r="E156" s="80"/>
      <c r="F156" s="63" t="s">
        <v>28</v>
      </c>
      <c r="G156" s="11">
        <f t="shared" si="70"/>
        <v>233</v>
      </c>
      <c r="H156" s="11">
        <f t="shared" si="71"/>
        <v>0</v>
      </c>
      <c r="I156" s="72">
        <v>233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  <c r="Q156" s="66"/>
      <c r="R156" s="18"/>
      <c r="W156" s="16">
        <f t="shared" si="56"/>
        <v>233</v>
      </c>
    </row>
    <row r="157" spans="1:23" ht="15.6" x14ac:dyDescent="0.3">
      <c r="A157" s="71"/>
      <c r="B157" s="86"/>
      <c r="C157" s="80"/>
      <c r="D157" s="80"/>
      <c r="E157" s="80"/>
      <c r="F157" s="63" t="s">
        <v>29</v>
      </c>
      <c r="G157" s="11">
        <f t="shared" si="70"/>
        <v>900</v>
      </c>
      <c r="H157" s="11">
        <f t="shared" si="71"/>
        <v>0</v>
      </c>
      <c r="I157" s="72">
        <v>900</v>
      </c>
      <c r="J157" s="72">
        <v>0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  <c r="Q157" s="66"/>
      <c r="R157" s="18"/>
      <c r="W157" s="16">
        <f t="shared" si="56"/>
        <v>900</v>
      </c>
    </row>
    <row r="158" spans="1:23" ht="15.6" x14ac:dyDescent="0.3">
      <c r="A158" s="71"/>
      <c r="B158" s="86"/>
      <c r="C158" s="80"/>
      <c r="D158" s="80"/>
      <c r="E158" s="80"/>
      <c r="F158" s="63" t="s">
        <v>30</v>
      </c>
      <c r="G158" s="11">
        <f t="shared" si="70"/>
        <v>900</v>
      </c>
      <c r="H158" s="11">
        <f t="shared" si="71"/>
        <v>0</v>
      </c>
      <c r="I158" s="72">
        <v>900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  <c r="Q158" s="66"/>
      <c r="R158" s="18"/>
      <c r="W158" s="16">
        <f t="shared" si="56"/>
        <v>900</v>
      </c>
    </row>
    <row r="159" spans="1:23" ht="15.6" x14ac:dyDescent="0.3">
      <c r="A159" s="71"/>
      <c r="B159" s="87"/>
      <c r="C159" s="81"/>
      <c r="D159" s="81"/>
      <c r="E159" s="81"/>
      <c r="F159" s="63" t="s">
        <v>31</v>
      </c>
      <c r="G159" s="11">
        <f t="shared" si="70"/>
        <v>900</v>
      </c>
      <c r="H159" s="11">
        <f t="shared" si="71"/>
        <v>0</v>
      </c>
      <c r="I159" s="72">
        <v>900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2">
        <v>0</v>
      </c>
      <c r="Q159" s="66"/>
      <c r="R159" s="18"/>
      <c r="W159" s="16">
        <f t="shared" si="56"/>
        <v>900</v>
      </c>
    </row>
    <row r="160" spans="1:23" ht="18" customHeight="1" x14ac:dyDescent="0.3">
      <c r="A160" s="79"/>
      <c r="B160" s="65" t="s">
        <v>68</v>
      </c>
      <c r="C160" s="64"/>
      <c r="D160" s="64"/>
      <c r="E160" s="64"/>
      <c r="F160" s="64" t="s">
        <v>18</v>
      </c>
      <c r="G160" s="11">
        <f>SUM(G161:G171)</f>
        <v>2760386.1599999988</v>
      </c>
      <c r="H160" s="11">
        <f t="shared" ref="H160:P160" si="72">SUM(H161:H171)</f>
        <v>2442835.0399999996</v>
      </c>
      <c r="I160" s="11">
        <f t="shared" si="72"/>
        <v>1719744.44</v>
      </c>
      <c r="J160" s="11">
        <f t="shared" si="72"/>
        <v>1587189.9000000001</v>
      </c>
      <c r="K160" s="11">
        <f t="shared" si="72"/>
        <v>7627.1</v>
      </c>
      <c r="L160" s="11">
        <f t="shared" si="72"/>
        <v>127.1</v>
      </c>
      <c r="M160" s="11">
        <f t="shared" si="72"/>
        <v>543111.21999999986</v>
      </c>
      <c r="N160" s="11">
        <f>SUM(N161:N171)</f>
        <v>365614.6399999999</v>
      </c>
      <c r="O160" s="11">
        <f>SUM(O161:O171)</f>
        <v>489903.39999999973</v>
      </c>
      <c r="P160" s="11">
        <f t="shared" si="72"/>
        <v>489903.39999999973</v>
      </c>
      <c r="Q160" s="94" t="s">
        <v>33</v>
      </c>
      <c r="R160" s="18"/>
      <c r="W160" s="16">
        <f t="shared" si="56"/>
        <v>132554.5399999998</v>
      </c>
    </row>
    <row r="161" spans="1:184" s="13" customFormat="1" ht="32.25" customHeight="1" x14ac:dyDescent="0.3">
      <c r="A161" s="80"/>
      <c r="B161" s="85" t="s">
        <v>69</v>
      </c>
      <c r="C161" s="64" t="s">
        <v>70</v>
      </c>
      <c r="D161" s="74"/>
      <c r="E161" s="74"/>
      <c r="F161" s="64" t="s">
        <v>20</v>
      </c>
      <c r="G161" s="11">
        <f>I161+K161+M161+O161</f>
        <v>180341.6</v>
      </c>
      <c r="H161" s="11">
        <f t="shared" ref="G161:H165" si="73">J161+L161+N161+P161</f>
        <v>162018.30000000002</v>
      </c>
      <c r="I161" s="11">
        <f t="shared" ref="I161:J164" si="74">I173+I209+I185+I197+I216+I223+I230+I237</f>
        <v>116756.20000000001</v>
      </c>
      <c r="J161" s="11">
        <f t="shared" si="74"/>
        <v>104347.90000000001</v>
      </c>
      <c r="K161" s="11">
        <f t="shared" ref="K161:P165" si="75">K173+K209+K185+K197+K216+K223+K230+K237</f>
        <v>2500</v>
      </c>
      <c r="L161" s="11">
        <f t="shared" si="75"/>
        <v>0</v>
      </c>
      <c r="M161" s="11">
        <f t="shared" si="75"/>
        <v>27766.9</v>
      </c>
      <c r="N161" s="11">
        <f t="shared" si="75"/>
        <v>24351.9</v>
      </c>
      <c r="O161" s="11">
        <f t="shared" si="75"/>
        <v>33318.5</v>
      </c>
      <c r="P161" s="11">
        <f t="shared" si="75"/>
        <v>33318.5</v>
      </c>
      <c r="Q161" s="95"/>
      <c r="R161" s="18"/>
      <c r="W161" s="16">
        <f t="shared" si="56"/>
        <v>12408.300000000003</v>
      </c>
    </row>
    <row r="162" spans="1:184" s="13" customFormat="1" ht="83.25" customHeight="1" x14ac:dyDescent="0.3">
      <c r="A162" s="80"/>
      <c r="B162" s="85"/>
      <c r="C162" s="75" t="s">
        <v>71</v>
      </c>
      <c r="D162" s="75"/>
      <c r="E162" s="75"/>
      <c r="F162" s="64" t="s">
        <v>22</v>
      </c>
      <c r="G162" s="11">
        <f t="shared" si="73"/>
        <v>181324.74</v>
      </c>
      <c r="H162" s="11">
        <f t="shared" si="73"/>
        <v>173599.8</v>
      </c>
      <c r="I162" s="11">
        <f t="shared" si="74"/>
        <v>111578.54000000001</v>
      </c>
      <c r="J162" s="11">
        <f t="shared" si="74"/>
        <v>109904.6</v>
      </c>
      <c r="K162" s="11">
        <f t="shared" si="75"/>
        <v>2500</v>
      </c>
      <c r="L162" s="11">
        <f t="shared" si="75"/>
        <v>0</v>
      </c>
      <c r="M162" s="11">
        <f t="shared" si="75"/>
        <v>28121.9</v>
      </c>
      <c r="N162" s="11">
        <f t="shared" si="75"/>
        <v>24570.9</v>
      </c>
      <c r="O162" s="11">
        <f t="shared" si="75"/>
        <v>39124.300000000003</v>
      </c>
      <c r="P162" s="11">
        <f t="shared" si="75"/>
        <v>39124.300000000003</v>
      </c>
      <c r="Q162" s="95"/>
      <c r="R162" s="18"/>
      <c r="S162" s="116" t="s">
        <v>69</v>
      </c>
      <c r="T162" s="117"/>
      <c r="W162" s="16">
        <f t="shared" si="56"/>
        <v>1673.9400000000023</v>
      </c>
    </row>
    <row r="163" spans="1:184" s="13" customFormat="1" ht="18" customHeight="1" x14ac:dyDescent="0.3">
      <c r="A163" s="80"/>
      <c r="B163" s="85"/>
      <c r="C163" s="75"/>
      <c r="D163" s="75"/>
      <c r="E163" s="75"/>
      <c r="F163" s="64" t="s">
        <v>23</v>
      </c>
      <c r="G163" s="11">
        <f t="shared" si="73"/>
        <v>197720.4999999998</v>
      </c>
      <c r="H163" s="11">
        <f t="shared" si="73"/>
        <v>188559.4999999998</v>
      </c>
      <c r="I163" s="11">
        <f t="shared" si="74"/>
        <v>113801.60000000001</v>
      </c>
      <c r="J163" s="11">
        <f t="shared" si="74"/>
        <v>110275.6</v>
      </c>
      <c r="K163" s="11">
        <f t="shared" si="75"/>
        <v>2500</v>
      </c>
      <c r="L163" s="11">
        <f t="shared" si="75"/>
        <v>0</v>
      </c>
      <c r="M163" s="11">
        <f t="shared" si="75"/>
        <v>40223.799999999901</v>
      </c>
      <c r="N163" s="11">
        <f t="shared" si="75"/>
        <v>37088.799999999901</v>
      </c>
      <c r="O163" s="11">
        <f t="shared" si="75"/>
        <v>41195.099999999897</v>
      </c>
      <c r="P163" s="11">
        <f t="shared" si="75"/>
        <v>41195.099999999897</v>
      </c>
      <c r="Q163" s="95"/>
      <c r="R163" s="18"/>
      <c r="S163" s="118"/>
      <c r="T163" s="119"/>
      <c r="W163" s="16">
        <f t="shared" si="56"/>
        <v>3526</v>
      </c>
    </row>
    <row r="164" spans="1:184" s="13" customFormat="1" ht="18" customHeight="1" x14ac:dyDescent="0.3">
      <c r="A164" s="80"/>
      <c r="B164" s="85"/>
      <c r="C164" s="75"/>
      <c r="D164" s="75"/>
      <c r="E164" s="75"/>
      <c r="F164" s="64" t="s">
        <v>24</v>
      </c>
      <c r="G164" s="11">
        <f t="shared" si="73"/>
        <v>221087.6</v>
      </c>
      <c r="H164" s="11">
        <f t="shared" si="73"/>
        <v>217736.5</v>
      </c>
      <c r="I164" s="11">
        <f t="shared" si="74"/>
        <v>127114.9</v>
      </c>
      <c r="J164" s="11">
        <f t="shared" si="74"/>
        <v>123763.8</v>
      </c>
      <c r="K164" s="11">
        <f t="shared" si="75"/>
        <v>127.1</v>
      </c>
      <c r="L164" s="11">
        <f t="shared" si="75"/>
        <v>127.1</v>
      </c>
      <c r="M164" s="11">
        <f t="shared" si="75"/>
        <v>47521.100000000006</v>
      </c>
      <c r="N164" s="11">
        <f t="shared" si="75"/>
        <v>47521.100000000006</v>
      </c>
      <c r="O164" s="11">
        <f t="shared" si="75"/>
        <v>46324.5</v>
      </c>
      <c r="P164" s="11">
        <f t="shared" si="75"/>
        <v>46324.5</v>
      </c>
      <c r="Q164" s="95"/>
      <c r="R164" s="18"/>
      <c r="S164" s="120"/>
      <c r="T164" s="121"/>
      <c r="W164" s="16">
        <f t="shared" si="56"/>
        <v>3351.0999999999913</v>
      </c>
    </row>
    <row r="165" spans="1:184" s="13" customFormat="1" ht="18" customHeight="1" x14ac:dyDescent="0.3">
      <c r="A165" s="80"/>
      <c r="B165" s="85"/>
      <c r="C165" s="75"/>
      <c r="D165" s="75"/>
      <c r="E165" s="75"/>
      <c r="F165" s="64" t="s">
        <v>25</v>
      </c>
      <c r="G165" s="11">
        <f t="shared" si="73"/>
        <v>228198.6</v>
      </c>
      <c r="H165" s="11">
        <f t="shared" si="73"/>
        <v>221491.20000000001</v>
      </c>
      <c r="I165" s="11">
        <f>I177+I189+I241</f>
        <v>132875.20000000001</v>
      </c>
      <c r="J165" s="11">
        <f>J177+J189+J241</f>
        <v>129803</v>
      </c>
      <c r="K165" s="11">
        <f t="shared" si="75"/>
        <v>0</v>
      </c>
      <c r="L165" s="11">
        <f t="shared" si="75"/>
        <v>0</v>
      </c>
      <c r="M165" s="11">
        <f t="shared" si="75"/>
        <v>47747.8</v>
      </c>
      <c r="N165" s="11">
        <f t="shared" si="75"/>
        <v>44112.6</v>
      </c>
      <c r="O165" s="11">
        <f t="shared" si="75"/>
        <v>47575.6</v>
      </c>
      <c r="P165" s="11">
        <f t="shared" si="75"/>
        <v>47575.6</v>
      </c>
      <c r="Q165" s="95"/>
      <c r="R165" s="33"/>
      <c r="S165" s="29">
        <f t="shared" ref="S165:S171" si="76">H165/G165*100</f>
        <v>97.060718163915112</v>
      </c>
      <c r="T165" s="64" t="s">
        <v>25</v>
      </c>
      <c r="W165" s="16">
        <f t="shared" si="56"/>
        <v>3072.2000000000116</v>
      </c>
      <c r="Y165" s="38"/>
      <c r="Z165" s="38"/>
    </row>
    <row r="166" spans="1:184" s="13" customFormat="1" ht="18" customHeight="1" x14ac:dyDescent="0.3">
      <c r="A166" s="80"/>
      <c r="B166" s="85"/>
      <c r="C166" s="75"/>
      <c r="D166" s="75"/>
      <c r="E166" s="75"/>
      <c r="F166" s="64" t="s">
        <v>26</v>
      </c>
      <c r="G166" s="11">
        <f t="shared" ref="G166:H171" si="77">I166+K166+M166+O166</f>
        <v>245881.99999999988</v>
      </c>
      <c r="H166" s="11">
        <f t="shared" si="77"/>
        <v>221168.1999999999</v>
      </c>
      <c r="I166" s="11">
        <f t="shared" ref="I166:P166" si="78">I178+I214+I190+I202+I221+I228+I235+I242</f>
        <v>158241</v>
      </c>
      <c r="J166" s="11">
        <f t="shared" si="78"/>
        <v>151378</v>
      </c>
      <c r="K166" s="11">
        <f t="shared" si="78"/>
        <v>0</v>
      </c>
      <c r="L166" s="11">
        <f t="shared" si="78"/>
        <v>0</v>
      </c>
      <c r="M166" s="11">
        <f t="shared" si="78"/>
        <v>47747.8</v>
      </c>
      <c r="N166" s="11">
        <f t="shared" si="78"/>
        <v>29897</v>
      </c>
      <c r="O166" s="11">
        <f t="shared" si="78"/>
        <v>39893.199999999903</v>
      </c>
      <c r="P166" s="11">
        <f t="shared" si="78"/>
        <v>39893.199999999903</v>
      </c>
      <c r="Q166" s="95"/>
      <c r="R166" s="18"/>
      <c r="S166" s="29">
        <f t="shared" si="76"/>
        <v>89.948918586964481</v>
      </c>
      <c r="T166" s="64" t="s">
        <v>26</v>
      </c>
      <c r="W166" s="16">
        <f t="shared" si="56"/>
        <v>6863</v>
      </c>
      <c r="Y166" s="38"/>
      <c r="Z166" s="38"/>
    </row>
    <row r="167" spans="1:184" s="13" customFormat="1" ht="18" customHeight="1" x14ac:dyDescent="0.3">
      <c r="A167" s="80"/>
      <c r="B167" s="85"/>
      <c r="C167" s="75"/>
      <c r="D167" s="75"/>
      <c r="E167" s="75"/>
      <c r="F167" s="64" t="s">
        <v>27</v>
      </c>
      <c r="G167" s="11">
        <f t="shared" si="77"/>
        <v>254386.3</v>
      </c>
      <c r="H167" s="11">
        <f t="shared" si="77"/>
        <v>236225.5</v>
      </c>
      <c r="I167" s="11">
        <f t="shared" ref="I167:P171" si="79">I179+I191+I203+I243</f>
        <v>158241</v>
      </c>
      <c r="J167" s="11">
        <f t="shared" ref="J167:P167" si="80">J179+J191+J203+J243</f>
        <v>148675.70000000001</v>
      </c>
      <c r="K167" s="11">
        <f t="shared" si="80"/>
        <v>0</v>
      </c>
      <c r="L167" s="11">
        <f t="shared" si="80"/>
        <v>0</v>
      </c>
      <c r="M167" s="11">
        <f t="shared" si="80"/>
        <v>47747.8</v>
      </c>
      <c r="N167" s="11">
        <f t="shared" si="80"/>
        <v>39152.300000000003</v>
      </c>
      <c r="O167" s="11">
        <f t="shared" si="80"/>
        <v>48397.5</v>
      </c>
      <c r="P167" s="11">
        <f t="shared" si="80"/>
        <v>48397.5</v>
      </c>
      <c r="Q167" s="95"/>
      <c r="R167" s="18"/>
      <c r="S167" s="29">
        <f t="shared" si="76"/>
        <v>92.860936300421855</v>
      </c>
      <c r="T167" s="64" t="s">
        <v>27</v>
      </c>
      <c r="W167" s="16">
        <f t="shared" si="56"/>
        <v>9565.2999999999884</v>
      </c>
      <c r="Y167" s="38"/>
      <c r="Z167" s="38"/>
    </row>
    <row r="168" spans="1:184" s="13" customFormat="1" ht="18" customHeight="1" x14ac:dyDescent="0.3">
      <c r="A168" s="80"/>
      <c r="B168" s="85"/>
      <c r="C168" s="75"/>
      <c r="D168" s="75"/>
      <c r="E168" s="75"/>
      <c r="F168" s="64" t="s">
        <v>28</v>
      </c>
      <c r="G168" s="11">
        <f t="shared" si="77"/>
        <v>284675.49999999988</v>
      </c>
      <c r="H168" s="11">
        <f t="shared" si="77"/>
        <v>270895.39999999991</v>
      </c>
      <c r="I168" s="11">
        <f t="shared" si="79"/>
        <v>181672</v>
      </c>
      <c r="J168" s="11">
        <f t="shared" si="79"/>
        <v>176556.1</v>
      </c>
      <c r="K168" s="11">
        <f t="shared" si="79"/>
        <v>0</v>
      </c>
      <c r="L168" s="11">
        <f t="shared" si="79"/>
        <v>0</v>
      </c>
      <c r="M168" s="11">
        <f t="shared" si="79"/>
        <v>47747.8</v>
      </c>
      <c r="N168" s="11">
        <f t="shared" si="79"/>
        <v>39083.599999999999</v>
      </c>
      <c r="O168" s="11">
        <f t="shared" si="79"/>
        <v>55255.699999999903</v>
      </c>
      <c r="P168" s="11">
        <f t="shared" si="79"/>
        <v>55255.699999999903</v>
      </c>
      <c r="Q168" s="95"/>
      <c r="R168" s="18"/>
      <c r="S168" s="29">
        <f t="shared" si="76"/>
        <v>95.159365663711853</v>
      </c>
      <c r="T168" s="64" t="s">
        <v>28</v>
      </c>
      <c r="U168" s="13">
        <f>175479.1+1076.9</f>
        <v>176556</v>
      </c>
      <c r="W168" s="16">
        <f t="shared" si="56"/>
        <v>5115.8999999999942</v>
      </c>
      <c r="Y168" s="38"/>
      <c r="Z168" s="38"/>
    </row>
    <row r="169" spans="1:184" s="13" customFormat="1" ht="18" customHeight="1" x14ac:dyDescent="0.3">
      <c r="A169" s="80"/>
      <c r="B169" s="85"/>
      <c r="C169" s="75"/>
      <c r="D169" s="75"/>
      <c r="E169" s="75"/>
      <c r="F169" s="64" t="s">
        <v>29</v>
      </c>
      <c r="G169" s="11">
        <f t="shared" si="77"/>
        <v>326736.83999999997</v>
      </c>
      <c r="H169" s="11">
        <f t="shared" si="77"/>
        <v>300977.44</v>
      </c>
      <c r="I169" s="11">
        <f t="shared" si="79"/>
        <v>206487.99999999991</v>
      </c>
      <c r="J169" s="11">
        <f t="shared" si="79"/>
        <v>180728.6</v>
      </c>
      <c r="K169" s="11">
        <f t="shared" si="79"/>
        <v>0</v>
      </c>
      <c r="L169" s="11">
        <f t="shared" si="79"/>
        <v>0</v>
      </c>
      <c r="M169" s="11">
        <f t="shared" si="79"/>
        <v>69495.44</v>
      </c>
      <c r="N169" s="11">
        <f t="shared" si="79"/>
        <v>69495.44</v>
      </c>
      <c r="O169" s="11">
        <f t="shared" si="79"/>
        <v>50753.4</v>
      </c>
      <c r="P169" s="11">
        <f t="shared" si="79"/>
        <v>50753.4</v>
      </c>
      <c r="Q169" s="95"/>
      <c r="R169" s="18"/>
      <c r="S169" s="29">
        <f t="shared" si="76"/>
        <v>92.116162964666003</v>
      </c>
      <c r="T169" s="64" t="s">
        <v>29</v>
      </c>
      <c r="U169" s="16">
        <f>U168-J168</f>
        <v>-0.10000000000582077</v>
      </c>
      <c r="W169" s="16">
        <f t="shared" si="56"/>
        <v>25759.399999999907</v>
      </c>
      <c r="Y169" s="38"/>
      <c r="Z169" s="38"/>
      <c r="GB169" s="16">
        <f>J169+N169</f>
        <v>250224.04</v>
      </c>
    </row>
    <row r="170" spans="1:184" s="13" customFormat="1" ht="18" customHeight="1" x14ac:dyDescent="0.3">
      <c r="A170" s="80"/>
      <c r="B170" s="85"/>
      <c r="C170" s="75"/>
      <c r="D170" s="75"/>
      <c r="E170" s="75"/>
      <c r="F170" s="64" t="s">
        <v>30</v>
      </c>
      <c r="G170" s="11">
        <f t="shared" si="77"/>
        <v>320016.23999999993</v>
      </c>
      <c r="H170" s="11">
        <f t="shared" si="77"/>
        <v>225081.60000000003</v>
      </c>
      <c r="I170" s="11">
        <f t="shared" si="79"/>
        <v>206487.99999999991</v>
      </c>
      <c r="J170" s="11">
        <f t="shared" si="79"/>
        <v>175878.30000000002</v>
      </c>
      <c r="K170" s="11">
        <f t="shared" si="79"/>
        <v>0</v>
      </c>
      <c r="L170" s="11">
        <f t="shared" si="79"/>
        <v>0</v>
      </c>
      <c r="M170" s="11">
        <f t="shared" si="79"/>
        <v>69495.44</v>
      </c>
      <c r="N170" s="11">
        <f t="shared" si="79"/>
        <v>5170.5</v>
      </c>
      <c r="O170" s="11">
        <f t="shared" si="79"/>
        <v>44032.800000000003</v>
      </c>
      <c r="P170" s="11">
        <f t="shared" si="79"/>
        <v>44032.800000000003</v>
      </c>
      <c r="Q170" s="95"/>
      <c r="R170" s="18"/>
      <c r="S170" s="29">
        <f t="shared" si="76"/>
        <v>70.334430527650753</v>
      </c>
      <c r="T170" s="64" t="s">
        <v>30</v>
      </c>
      <c r="W170" s="16">
        <f t="shared" si="56"/>
        <v>30609.699999999895</v>
      </c>
      <c r="Y170" s="38"/>
      <c r="Z170" s="38"/>
    </row>
    <row r="171" spans="1:184" s="13" customFormat="1" ht="18" customHeight="1" x14ac:dyDescent="0.3">
      <c r="A171" s="80"/>
      <c r="B171" s="85"/>
      <c r="C171" s="76"/>
      <c r="D171" s="76"/>
      <c r="E171" s="76"/>
      <c r="F171" s="64" t="s">
        <v>31</v>
      </c>
      <c r="G171" s="11">
        <f t="shared" si="77"/>
        <v>320016.23999999993</v>
      </c>
      <c r="H171" s="11">
        <f t="shared" si="77"/>
        <v>225081.60000000003</v>
      </c>
      <c r="I171" s="11">
        <f t="shared" si="79"/>
        <v>206487.99999999991</v>
      </c>
      <c r="J171" s="11">
        <f t="shared" si="79"/>
        <v>175878.30000000002</v>
      </c>
      <c r="K171" s="11">
        <f t="shared" si="79"/>
        <v>0</v>
      </c>
      <c r="L171" s="11">
        <f t="shared" si="79"/>
        <v>0</v>
      </c>
      <c r="M171" s="11">
        <f t="shared" si="79"/>
        <v>69495.44</v>
      </c>
      <c r="N171" s="11">
        <f t="shared" si="79"/>
        <v>5170.5</v>
      </c>
      <c r="O171" s="11">
        <f t="shared" si="79"/>
        <v>44032.800000000003</v>
      </c>
      <c r="P171" s="11">
        <f t="shared" si="79"/>
        <v>44032.800000000003</v>
      </c>
      <c r="Q171" s="95"/>
      <c r="R171" s="18"/>
      <c r="S171" s="29">
        <f t="shared" si="76"/>
        <v>70.334430527650753</v>
      </c>
      <c r="T171" s="64" t="s">
        <v>31</v>
      </c>
      <c r="W171" s="16">
        <f t="shared" si="56"/>
        <v>30609.699999999895</v>
      </c>
      <c r="Y171" s="38"/>
      <c r="Z171" s="38"/>
    </row>
    <row r="172" spans="1:184" s="13" customFormat="1" ht="15" customHeight="1" x14ac:dyDescent="0.3">
      <c r="A172" s="80"/>
      <c r="B172" s="97" t="s">
        <v>72</v>
      </c>
      <c r="C172" s="35"/>
      <c r="D172" s="35"/>
      <c r="E172" s="62"/>
      <c r="F172" s="63" t="s">
        <v>18</v>
      </c>
      <c r="G172" s="72">
        <f>SUM(G173:G183)</f>
        <v>2693064.2299999991</v>
      </c>
      <c r="H172" s="72">
        <f t="shared" ref="H172:P172" si="81">SUM(H173:H183)</f>
        <v>2419282.0099999998</v>
      </c>
      <c r="I172" s="72">
        <f t="shared" si="81"/>
        <v>1675446.94</v>
      </c>
      <c r="J172" s="72">
        <f t="shared" si="81"/>
        <v>1569476.2999999998</v>
      </c>
      <c r="K172" s="72">
        <f t="shared" si="81"/>
        <v>0</v>
      </c>
      <c r="L172" s="72">
        <f t="shared" si="81"/>
        <v>0</v>
      </c>
      <c r="M172" s="72">
        <f t="shared" si="81"/>
        <v>533368.41999999993</v>
      </c>
      <c r="N172" s="72">
        <f>SUM(N173:N183)</f>
        <v>365556.83999999991</v>
      </c>
      <c r="O172" s="72">
        <f>SUM(O173:O183)</f>
        <v>484248.86999999965</v>
      </c>
      <c r="P172" s="72">
        <f t="shared" si="81"/>
        <v>484248.86999999965</v>
      </c>
      <c r="Q172" s="95"/>
      <c r="R172" s="18"/>
      <c r="W172" s="16">
        <f t="shared" si="56"/>
        <v>105970.64000000013</v>
      </c>
    </row>
    <row r="173" spans="1:184" s="6" customFormat="1" ht="105.6" x14ac:dyDescent="0.3">
      <c r="A173" s="80"/>
      <c r="B173" s="97"/>
      <c r="C173" s="63" t="s">
        <v>73</v>
      </c>
      <c r="D173" s="79" t="s">
        <v>44</v>
      </c>
      <c r="E173" s="79" t="s">
        <v>45</v>
      </c>
      <c r="F173" s="63" t="s">
        <v>20</v>
      </c>
      <c r="G173" s="72">
        <f t="shared" ref="G173:H183" si="82">I173+K173+M173+O173</f>
        <v>164731.80000000002</v>
      </c>
      <c r="H173" s="72">
        <f t="shared" si="82"/>
        <v>160327.90000000002</v>
      </c>
      <c r="I173" s="72">
        <f>7559.8-2100+J173-1400+344.1</f>
        <v>108642.20000000001</v>
      </c>
      <c r="J173" s="72">
        <v>104238.3</v>
      </c>
      <c r="K173" s="72">
        <v>0</v>
      </c>
      <c r="L173" s="72">
        <v>0</v>
      </c>
      <c r="M173" s="72">
        <f>N173</f>
        <v>24351.9</v>
      </c>
      <c r="N173" s="72">
        <v>24351.9</v>
      </c>
      <c r="O173" s="72">
        <v>31737.7</v>
      </c>
      <c r="P173" s="72">
        <f t="shared" ref="P173:P178" si="83">O173</f>
        <v>31737.7</v>
      </c>
      <c r="Q173" s="95"/>
      <c r="R173" s="37"/>
      <c r="W173" s="16">
        <f t="shared" si="56"/>
        <v>4403.9000000000087</v>
      </c>
    </row>
    <row r="174" spans="1:184" ht="145.19999999999999" x14ac:dyDescent="0.3">
      <c r="A174" s="80"/>
      <c r="B174" s="97"/>
      <c r="C174" s="63" t="s">
        <v>74</v>
      </c>
      <c r="D174" s="80"/>
      <c r="E174" s="80"/>
      <c r="F174" s="63" t="s">
        <v>22</v>
      </c>
      <c r="G174" s="72">
        <f t="shared" si="82"/>
        <v>173705.71</v>
      </c>
      <c r="H174" s="72">
        <f>J174+L174+N174+P174</f>
        <v>171615.77</v>
      </c>
      <c r="I174" s="72">
        <f>J174+487.94+1186</f>
        <v>110218.94</v>
      </c>
      <c r="J174" s="72">
        <f>109545.8-J186-J198-J217-J224-J238+30+700+50-1496.4-1390.5-66+2531.69999999999</f>
        <v>108545</v>
      </c>
      <c r="K174" s="72">
        <v>0</v>
      </c>
      <c r="L174" s="72">
        <v>0</v>
      </c>
      <c r="M174" s="72">
        <f>N174+416</f>
        <v>24986.9</v>
      </c>
      <c r="N174" s="72">
        <f>31823.2-121-7131.3</f>
        <v>24570.9</v>
      </c>
      <c r="O174" s="72">
        <f>39124.3-O210-O186-O198-O217-O224</f>
        <v>38499.870000000003</v>
      </c>
      <c r="P174" s="72">
        <f t="shared" si="83"/>
        <v>38499.870000000003</v>
      </c>
      <c r="Q174" s="95"/>
      <c r="R174" s="18"/>
      <c r="W174" s="16">
        <f t="shared" si="56"/>
        <v>1673.9400000000023</v>
      </c>
    </row>
    <row r="175" spans="1:184" ht="15.6" x14ac:dyDescent="0.3">
      <c r="A175" s="80"/>
      <c r="B175" s="97"/>
      <c r="C175" s="79" t="s">
        <v>75</v>
      </c>
      <c r="D175" s="80"/>
      <c r="E175" s="80"/>
      <c r="F175" s="63" t="s">
        <v>23</v>
      </c>
      <c r="G175" s="72">
        <f t="shared" si="82"/>
        <v>190852.99999999977</v>
      </c>
      <c r="H175" s="72">
        <f t="shared" si="82"/>
        <v>187425.99999999977</v>
      </c>
      <c r="I175" s="72">
        <f>J175+3427</f>
        <v>113420.7</v>
      </c>
      <c r="J175" s="72">
        <f>110093.1-J187-J199-J239+96.5+86</f>
        <v>109993.7</v>
      </c>
      <c r="K175" s="72">
        <v>0</v>
      </c>
      <c r="L175" s="72">
        <v>0</v>
      </c>
      <c r="M175" s="72">
        <f>N175</f>
        <v>37088.799999999901</v>
      </c>
      <c r="N175" s="72">
        <f>75318.6999999999-36741.8-1488.09999999999</f>
        <v>37088.799999999901</v>
      </c>
      <c r="O175" s="72">
        <f>41195.0999999999-O211-O187-O199-O218-O225</f>
        <v>40343.499999999898</v>
      </c>
      <c r="P175" s="72">
        <f t="shared" si="83"/>
        <v>40343.499999999898</v>
      </c>
      <c r="Q175" s="95"/>
      <c r="R175" s="18"/>
      <c r="W175" s="16">
        <f t="shared" si="56"/>
        <v>3427</v>
      </c>
    </row>
    <row r="176" spans="1:184" ht="15.6" x14ac:dyDescent="0.3">
      <c r="A176" s="80"/>
      <c r="B176" s="97"/>
      <c r="C176" s="80"/>
      <c r="D176" s="80"/>
      <c r="E176" s="80"/>
      <c r="F176" s="63" t="s">
        <v>24</v>
      </c>
      <c r="G176" s="72">
        <f t="shared" si="82"/>
        <v>212843</v>
      </c>
      <c r="H176" s="72">
        <f t="shared" ref="H176:H178" si="84">J176+L176+N176+P176</f>
        <v>210497.90000000002</v>
      </c>
      <c r="I176" s="72">
        <v>120178.9</v>
      </c>
      <c r="J176" s="72">
        <v>117833.8</v>
      </c>
      <c r="K176" s="72">
        <v>0</v>
      </c>
      <c r="L176" s="72">
        <v>0</v>
      </c>
      <c r="M176" s="72">
        <v>47463.3</v>
      </c>
      <c r="N176" s="72">
        <f>M176</f>
        <v>47463.3</v>
      </c>
      <c r="O176" s="72">
        <v>45200.800000000003</v>
      </c>
      <c r="P176" s="72">
        <f t="shared" si="83"/>
        <v>45200.800000000003</v>
      </c>
      <c r="Q176" s="95"/>
      <c r="R176" s="18"/>
      <c r="W176" s="16">
        <f t="shared" si="56"/>
        <v>2345.0999999999913</v>
      </c>
    </row>
    <row r="177" spans="1:25" ht="15.6" x14ac:dyDescent="0.3">
      <c r="A177" s="80"/>
      <c r="B177" s="97"/>
      <c r="C177" s="80"/>
      <c r="D177" s="80"/>
      <c r="E177" s="80"/>
      <c r="F177" s="63" t="s">
        <v>25</v>
      </c>
      <c r="G177" s="72">
        <f t="shared" si="82"/>
        <v>219758.7</v>
      </c>
      <c r="H177" s="72">
        <f t="shared" si="84"/>
        <v>213051.3</v>
      </c>
      <c r="I177" s="72">
        <v>124814.2</v>
      </c>
      <c r="J177" s="72">
        <f>129747.5-J189-J241+55.5</f>
        <v>121742</v>
      </c>
      <c r="K177" s="72">
        <v>0</v>
      </c>
      <c r="L177" s="72">
        <v>0</v>
      </c>
      <c r="M177" s="72">
        <v>47747.8</v>
      </c>
      <c r="N177" s="72">
        <v>44112.6</v>
      </c>
      <c r="O177" s="72">
        <f>33911+8310+5.09999999999999+5349.5-O189</f>
        <v>47196.7</v>
      </c>
      <c r="P177" s="72">
        <f t="shared" si="83"/>
        <v>47196.7</v>
      </c>
      <c r="Q177" s="95"/>
      <c r="R177" s="18"/>
      <c r="W177" s="16">
        <f t="shared" si="56"/>
        <v>3072.1999999999971</v>
      </c>
    </row>
    <row r="178" spans="1:25" ht="15.6" x14ac:dyDescent="0.3">
      <c r="A178" s="80"/>
      <c r="B178" s="97"/>
      <c r="C178" s="80"/>
      <c r="D178" s="80"/>
      <c r="E178" s="80"/>
      <c r="F178" s="63" t="s">
        <v>26</v>
      </c>
      <c r="G178" s="72">
        <f t="shared" si="82"/>
        <v>242502.09999999989</v>
      </c>
      <c r="H178" s="72">
        <f t="shared" si="84"/>
        <v>220823.2999999999</v>
      </c>
      <c r="I178" s="72">
        <v>155000</v>
      </c>
      <c r="J178" s="72">
        <v>151172</v>
      </c>
      <c r="K178" s="72">
        <v>0</v>
      </c>
      <c r="L178" s="72">
        <v>0</v>
      </c>
      <c r="M178" s="72">
        <v>47747.8</v>
      </c>
      <c r="N178" s="72">
        <v>29897</v>
      </c>
      <c r="O178" s="72">
        <f>39893.1999999999-138.9</f>
        <v>39754.299999999901</v>
      </c>
      <c r="P178" s="72">
        <f t="shared" si="83"/>
        <v>39754.299999999901</v>
      </c>
      <c r="Q178" s="95"/>
      <c r="R178" s="33">
        <f>I178-J178</f>
        <v>3828</v>
      </c>
      <c r="W178" s="16">
        <f t="shared" si="56"/>
        <v>3828</v>
      </c>
      <c r="Y178" s="32"/>
    </row>
    <row r="179" spans="1:25" ht="15.6" x14ac:dyDescent="0.3">
      <c r="A179" s="80"/>
      <c r="B179" s="97"/>
      <c r="C179" s="80"/>
      <c r="D179" s="80"/>
      <c r="E179" s="80"/>
      <c r="F179" s="63" t="s">
        <v>27</v>
      </c>
      <c r="G179" s="72">
        <f t="shared" si="82"/>
        <v>250471.5</v>
      </c>
      <c r="H179" s="72">
        <f t="shared" si="82"/>
        <v>235198.60000000003</v>
      </c>
      <c r="I179" s="72">
        <v>155000</v>
      </c>
      <c r="J179" s="72">
        <v>148322.6</v>
      </c>
      <c r="K179" s="72">
        <v>0</v>
      </c>
      <c r="L179" s="72">
        <v>0</v>
      </c>
      <c r="M179" s="72">
        <f t="shared" ref="M179:M183" si="85">M178</f>
        <v>47747.8</v>
      </c>
      <c r="N179" s="72">
        <v>39152.300000000003</v>
      </c>
      <c r="O179" s="72">
        <f t="shared" ref="O179:O183" si="86">P179</f>
        <v>47723.7</v>
      </c>
      <c r="P179" s="72">
        <f>48397.5-P243</f>
        <v>47723.7</v>
      </c>
      <c r="Q179" s="95"/>
      <c r="R179" s="18"/>
      <c r="U179" s="32"/>
      <c r="W179" s="16">
        <f t="shared" si="56"/>
        <v>6677.3999999999942</v>
      </c>
    </row>
    <row r="180" spans="1:25" ht="15.6" x14ac:dyDescent="0.3">
      <c r="A180" s="80"/>
      <c r="B180" s="97"/>
      <c r="C180" s="80"/>
      <c r="D180" s="80"/>
      <c r="E180" s="80"/>
      <c r="F180" s="63" t="s">
        <v>28</v>
      </c>
      <c r="G180" s="72">
        <f t="shared" si="82"/>
        <v>281152.09999999986</v>
      </c>
      <c r="H180" s="72">
        <f t="shared" si="82"/>
        <v>270259.89999999991</v>
      </c>
      <c r="I180" s="72">
        <f>30300+141611+6520</f>
        <v>178431</v>
      </c>
      <c r="J180" s="72">
        <f>171920.1+1077+3205.8+0.1</f>
        <v>176203</v>
      </c>
      <c r="K180" s="72">
        <v>0</v>
      </c>
      <c r="L180" s="72">
        <v>0</v>
      </c>
      <c r="M180" s="72">
        <f t="shared" si="85"/>
        <v>47747.8</v>
      </c>
      <c r="N180" s="72">
        <v>39083.599999999999</v>
      </c>
      <c r="O180" s="72">
        <f t="shared" si="86"/>
        <v>54973.299999999901</v>
      </c>
      <c r="P180" s="72">
        <f>55255.6999999999-P244</f>
        <v>54973.299999999901</v>
      </c>
      <c r="Q180" s="95"/>
      <c r="R180" s="18"/>
      <c r="W180" s="16">
        <f t="shared" si="56"/>
        <v>2228</v>
      </c>
      <c r="X180" s="32">
        <f>I180-J180</f>
        <v>2228</v>
      </c>
    </row>
    <row r="181" spans="1:25" ht="15.6" x14ac:dyDescent="0.3">
      <c r="A181" s="80"/>
      <c r="B181" s="97"/>
      <c r="C181" s="80"/>
      <c r="D181" s="80"/>
      <c r="E181" s="80"/>
      <c r="F181" s="63" t="s">
        <v>29</v>
      </c>
      <c r="G181" s="72">
        <f t="shared" si="82"/>
        <v>323495.83999999997</v>
      </c>
      <c r="H181" s="72">
        <f t="shared" si="82"/>
        <v>300624.34000000003</v>
      </c>
      <c r="I181" s="72">
        <f>175226.7+38402.6999999999-7000-632.399999999999-1500-600-650</f>
        <v>203246.99999999991</v>
      </c>
      <c r="J181" s="72">
        <f>180206.5+169</f>
        <v>180375.5</v>
      </c>
      <c r="K181" s="72">
        <v>0</v>
      </c>
      <c r="L181" s="72">
        <v>0</v>
      </c>
      <c r="M181" s="72">
        <f>N181</f>
        <v>69495.44</v>
      </c>
      <c r="N181" s="72">
        <v>69495.44</v>
      </c>
      <c r="O181" s="72">
        <v>50753.4</v>
      </c>
      <c r="P181" s="72">
        <v>50753.4</v>
      </c>
      <c r="Q181" s="95"/>
      <c r="R181" s="33">
        <f>I181-J181</f>
        <v>22871.499999999913</v>
      </c>
      <c r="S181" s="32">
        <f>I181-J181</f>
        <v>22871.499999999913</v>
      </c>
      <c r="W181" s="16">
        <f t="shared" si="56"/>
        <v>22871.499999999913</v>
      </c>
    </row>
    <row r="182" spans="1:25" ht="15.6" x14ac:dyDescent="0.3">
      <c r="A182" s="80"/>
      <c r="B182" s="97"/>
      <c r="C182" s="80"/>
      <c r="D182" s="80"/>
      <c r="E182" s="80"/>
      <c r="F182" s="63" t="s">
        <v>30</v>
      </c>
      <c r="G182" s="72">
        <f t="shared" si="82"/>
        <v>316775.23999999993</v>
      </c>
      <c r="H182" s="72">
        <f t="shared" si="82"/>
        <v>224728.5</v>
      </c>
      <c r="I182" s="72">
        <f t="shared" ref="I182:I183" si="87">I181</f>
        <v>203246.99999999991</v>
      </c>
      <c r="J182" s="72">
        <f t="shared" ref="J182:J183" si="88">175226.7+298.5</f>
        <v>175525.2</v>
      </c>
      <c r="K182" s="72">
        <v>0</v>
      </c>
      <c r="L182" s="72">
        <v>0</v>
      </c>
      <c r="M182" s="72">
        <f t="shared" si="85"/>
        <v>69495.44</v>
      </c>
      <c r="N182" s="72">
        <f>4784.5+386</f>
        <v>5170.5</v>
      </c>
      <c r="O182" s="72">
        <f t="shared" si="86"/>
        <v>44032.800000000003</v>
      </c>
      <c r="P182" s="72">
        <v>44032.800000000003</v>
      </c>
      <c r="Q182" s="95"/>
      <c r="R182" s="18"/>
      <c r="W182" s="16">
        <f t="shared" si="56"/>
        <v>27721.799999999901</v>
      </c>
    </row>
    <row r="183" spans="1:25" ht="15.6" x14ac:dyDescent="0.3">
      <c r="A183" s="80"/>
      <c r="B183" s="97"/>
      <c r="C183" s="81"/>
      <c r="D183" s="81"/>
      <c r="E183" s="81"/>
      <c r="F183" s="63" t="s">
        <v>31</v>
      </c>
      <c r="G183" s="72">
        <f t="shared" si="82"/>
        <v>316775.23999999993</v>
      </c>
      <c r="H183" s="72">
        <f t="shared" si="82"/>
        <v>224728.5</v>
      </c>
      <c r="I183" s="72">
        <f t="shared" si="87"/>
        <v>203246.99999999991</v>
      </c>
      <c r="J183" s="72">
        <f t="shared" si="88"/>
        <v>175525.2</v>
      </c>
      <c r="K183" s="72">
        <v>0</v>
      </c>
      <c r="L183" s="72">
        <v>0</v>
      </c>
      <c r="M183" s="72">
        <f t="shared" si="85"/>
        <v>69495.44</v>
      </c>
      <c r="N183" s="72">
        <f>4784.5+386</f>
        <v>5170.5</v>
      </c>
      <c r="O183" s="72">
        <f t="shared" si="86"/>
        <v>44032.800000000003</v>
      </c>
      <c r="P183" s="72">
        <v>44032.800000000003</v>
      </c>
      <c r="Q183" s="95"/>
      <c r="R183" s="18"/>
      <c r="W183" s="16">
        <f t="shared" si="56"/>
        <v>27721.799999999901</v>
      </c>
    </row>
    <row r="184" spans="1:25" s="13" customFormat="1" ht="15.75" customHeight="1" x14ac:dyDescent="0.3">
      <c r="A184" s="80"/>
      <c r="B184" s="97" t="s">
        <v>76</v>
      </c>
      <c r="C184" s="5"/>
      <c r="D184" s="5"/>
      <c r="E184" s="62"/>
      <c r="F184" s="63" t="s">
        <v>18</v>
      </c>
      <c r="G184" s="72">
        <f>SUM(G185:G195)</f>
        <v>38637.130000000005</v>
      </c>
      <c r="H184" s="72">
        <f t="shared" ref="H184:P184" si="89">SUM(H185:H195)</f>
        <v>17215.129999999997</v>
      </c>
      <c r="I184" s="72">
        <f t="shared" si="89"/>
        <v>18781.599999999999</v>
      </c>
      <c r="J184" s="72">
        <f t="shared" si="89"/>
        <v>14164.6</v>
      </c>
      <c r="K184" s="72">
        <f t="shared" si="89"/>
        <v>7627.1</v>
      </c>
      <c r="L184" s="72">
        <f t="shared" si="89"/>
        <v>127.1</v>
      </c>
      <c r="M184" s="72">
        <f t="shared" si="89"/>
        <v>9362.7999999999993</v>
      </c>
      <c r="N184" s="72">
        <f t="shared" si="89"/>
        <v>57.8</v>
      </c>
      <c r="O184" s="72">
        <f t="shared" si="89"/>
        <v>2865.63</v>
      </c>
      <c r="P184" s="72">
        <f t="shared" si="89"/>
        <v>2865.63</v>
      </c>
      <c r="Q184" s="95"/>
      <c r="R184" s="18"/>
      <c r="W184" s="16">
        <f t="shared" si="56"/>
        <v>4616.9999999999982</v>
      </c>
    </row>
    <row r="185" spans="1:25" s="6" customFormat="1" ht="40.5" customHeight="1" x14ac:dyDescent="0.3">
      <c r="A185" s="80"/>
      <c r="B185" s="97"/>
      <c r="C185" s="63" t="s">
        <v>77</v>
      </c>
      <c r="D185" s="82"/>
      <c r="E185" s="122"/>
      <c r="F185" s="63" t="s">
        <v>20</v>
      </c>
      <c r="G185" s="72">
        <f t="shared" ref="G185:H189" si="90">I185+K185+M185+O185</f>
        <v>10633</v>
      </c>
      <c r="H185" s="72">
        <f t="shared" si="90"/>
        <v>580</v>
      </c>
      <c r="I185" s="72">
        <f>418+4100+J185</f>
        <v>4598</v>
      </c>
      <c r="J185" s="72">
        <v>80</v>
      </c>
      <c r="K185" s="72">
        <v>2500</v>
      </c>
      <c r="L185" s="72">
        <v>0</v>
      </c>
      <c r="M185" s="72">
        <v>3035</v>
      </c>
      <c r="N185" s="72">
        <v>0</v>
      </c>
      <c r="O185" s="72">
        <v>500</v>
      </c>
      <c r="P185" s="72">
        <f t="shared" ref="P185:P189" si="91">O185</f>
        <v>500</v>
      </c>
      <c r="Q185" s="95"/>
      <c r="R185" s="37"/>
      <c r="W185" s="16">
        <f t="shared" si="56"/>
        <v>4518</v>
      </c>
    </row>
    <row r="186" spans="1:25" ht="38.25" customHeight="1" x14ac:dyDescent="0.3">
      <c r="A186" s="80"/>
      <c r="B186" s="97"/>
      <c r="C186" s="79" t="s">
        <v>78</v>
      </c>
      <c r="D186" s="82"/>
      <c r="E186" s="122"/>
      <c r="F186" s="63" t="s">
        <v>22</v>
      </c>
      <c r="G186" s="72">
        <f t="shared" si="90"/>
        <v>6202.13</v>
      </c>
      <c r="H186" s="72">
        <f t="shared" si="90"/>
        <v>567.13</v>
      </c>
      <c r="I186" s="72">
        <f>J186</f>
        <v>100</v>
      </c>
      <c r="J186" s="72">
        <v>100</v>
      </c>
      <c r="K186" s="72">
        <v>2500</v>
      </c>
      <c r="L186" s="72">
        <v>0</v>
      </c>
      <c r="M186" s="72">
        <v>3135</v>
      </c>
      <c r="N186" s="72">
        <v>0</v>
      </c>
      <c r="O186" s="72">
        <v>467.13</v>
      </c>
      <c r="P186" s="72">
        <f t="shared" si="91"/>
        <v>467.13</v>
      </c>
      <c r="Q186" s="95"/>
      <c r="R186" s="18"/>
      <c r="W186" s="16">
        <f t="shared" si="56"/>
        <v>0</v>
      </c>
    </row>
    <row r="187" spans="1:25" ht="15.6" customHeight="1" x14ac:dyDescent="0.3">
      <c r="A187" s="80"/>
      <c r="B187" s="97"/>
      <c r="C187" s="80"/>
      <c r="D187" s="82"/>
      <c r="E187" s="122"/>
      <c r="F187" s="63" t="s">
        <v>23</v>
      </c>
      <c r="G187" s="72">
        <f t="shared" si="90"/>
        <v>6474</v>
      </c>
      <c r="H187" s="72">
        <f t="shared" si="90"/>
        <v>740</v>
      </c>
      <c r="I187" s="72">
        <f>J187+99</f>
        <v>198.6</v>
      </c>
      <c r="J187" s="72">
        <v>99.6</v>
      </c>
      <c r="K187" s="72">
        <v>2500</v>
      </c>
      <c r="L187" s="72">
        <v>0</v>
      </c>
      <c r="M187" s="72">
        <v>3135</v>
      </c>
      <c r="N187" s="72">
        <v>0</v>
      </c>
      <c r="O187" s="72">
        <v>640.4</v>
      </c>
      <c r="P187" s="72">
        <f t="shared" si="91"/>
        <v>640.4</v>
      </c>
      <c r="Q187" s="95"/>
      <c r="R187" s="18"/>
      <c r="W187" s="16">
        <f t="shared" si="56"/>
        <v>99</v>
      </c>
    </row>
    <row r="188" spans="1:25" ht="15.6" x14ac:dyDescent="0.3">
      <c r="A188" s="80"/>
      <c r="B188" s="97"/>
      <c r="C188" s="80"/>
      <c r="D188" s="82"/>
      <c r="E188" s="122"/>
      <c r="F188" s="63" t="s">
        <v>24</v>
      </c>
      <c r="G188" s="72">
        <f t="shared" si="90"/>
        <v>6994.1</v>
      </c>
      <c r="H188" s="72">
        <f t="shared" si="90"/>
        <v>6994.1</v>
      </c>
      <c r="I188" s="72">
        <v>5930</v>
      </c>
      <c r="J188" s="72">
        <f>I188</f>
        <v>5930</v>
      </c>
      <c r="K188" s="72">
        <v>127.1</v>
      </c>
      <c r="L188" s="72">
        <v>127.1</v>
      </c>
      <c r="M188" s="72">
        <v>57.8</v>
      </c>
      <c r="N188" s="72">
        <v>57.8</v>
      </c>
      <c r="O188" s="72">
        <v>879.2</v>
      </c>
      <c r="P188" s="72">
        <f t="shared" si="91"/>
        <v>879.2</v>
      </c>
      <c r="Q188" s="95"/>
      <c r="R188" s="18"/>
      <c r="W188" s="16">
        <f t="shared" si="56"/>
        <v>0</v>
      </c>
    </row>
    <row r="189" spans="1:25" ht="15.6" x14ac:dyDescent="0.3">
      <c r="A189" s="80"/>
      <c r="B189" s="97"/>
      <c r="C189" s="80"/>
      <c r="D189" s="82"/>
      <c r="E189" s="122"/>
      <c r="F189" s="63" t="s">
        <v>25</v>
      </c>
      <c r="G189" s="72">
        <f t="shared" si="90"/>
        <v>8333.9</v>
      </c>
      <c r="H189" s="72">
        <f t="shared" si="90"/>
        <v>8333.9</v>
      </c>
      <c r="I189" s="72">
        <v>7955</v>
      </c>
      <c r="J189" s="72">
        <v>7955</v>
      </c>
      <c r="K189" s="72">
        <v>0</v>
      </c>
      <c r="L189" s="72">
        <v>0</v>
      </c>
      <c r="M189" s="72">
        <v>0</v>
      </c>
      <c r="N189" s="72">
        <v>0</v>
      </c>
      <c r="O189" s="72">
        <v>378.9</v>
      </c>
      <c r="P189" s="72">
        <f t="shared" si="91"/>
        <v>378.9</v>
      </c>
      <c r="Q189" s="95"/>
      <c r="R189" s="18"/>
      <c r="W189" s="16">
        <f t="shared" si="56"/>
        <v>0</v>
      </c>
    </row>
    <row r="190" spans="1:25" ht="15.6" x14ac:dyDescent="0.3">
      <c r="A190" s="80"/>
      <c r="B190" s="97"/>
      <c r="C190" s="80"/>
      <c r="D190" s="82"/>
      <c r="E190" s="122"/>
      <c r="F190" s="63" t="s">
        <v>26</v>
      </c>
      <c r="G190" s="123" t="s">
        <v>79</v>
      </c>
      <c r="H190" s="124"/>
      <c r="I190" s="124"/>
      <c r="J190" s="124"/>
      <c r="K190" s="124"/>
      <c r="L190" s="124"/>
      <c r="M190" s="124"/>
      <c r="N190" s="124"/>
      <c r="O190" s="124"/>
      <c r="P190" s="125"/>
      <c r="Q190" s="95"/>
      <c r="R190" s="18"/>
      <c r="W190" s="16">
        <f t="shared" ref="W190:W253" si="92">I190-J190</f>
        <v>0</v>
      </c>
    </row>
    <row r="191" spans="1:25" ht="15.6" hidden="1" x14ac:dyDescent="0.3">
      <c r="A191" s="80"/>
      <c r="B191" s="97"/>
      <c r="C191" s="80"/>
      <c r="D191" s="61"/>
      <c r="E191" s="61"/>
      <c r="F191" s="63" t="s">
        <v>27</v>
      </c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95"/>
      <c r="R191" s="18"/>
      <c r="W191" s="16">
        <f t="shared" si="92"/>
        <v>0</v>
      </c>
    </row>
    <row r="192" spans="1:25" ht="15.6" hidden="1" x14ac:dyDescent="0.3">
      <c r="A192" s="80"/>
      <c r="B192" s="97"/>
      <c r="C192" s="80"/>
      <c r="D192" s="61"/>
      <c r="E192" s="61"/>
      <c r="F192" s="63" t="s">
        <v>28</v>
      </c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95"/>
      <c r="R192" s="18"/>
      <c r="W192" s="16">
        <f t="shared" si="92"/>
        <v>0</v>
      </c>
    </row>
    <row r="193" spans="1:23" ht="15.6" hidden="1" x14ac:dyDescent="0.3">
      <c r="A193" s="80"/>
      <c r="B193" s="97"/>
      <c r="C193" s="80"/>
      <c r="D193" s="61"/>
      <c r="E193" s="61"/>
      <c r="F193" s="63" t="s">
        <v>29</v>
      </c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95"/>
      <c r="R193" s="18"/>
      <c r="W193" s="16">
        <f t="shared" si="92"/>
        <v>0</v>
      </c>
    </row>
    <row r="194" spans="1:23" ht="15.6" hidden="1" x14ac:dyDescent="0.3">
      <c r="A194" s="80"/>
      <c r="B194" s="97"/>
      <c r="C194" s="80"/>
      <c r="D194" s="61"/>
      <c r="E194" s="61"/>
      <c r="F194" s="63" t="s">
        <v>30</v>
      </c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95"/>
      <c r="R194" s="18"/>
      <c r="W194" s="16">
        <f t="shared" si="92"/>
        <v>0</v>
      </c>
    </row>
    <row r="195" spans="1:23" ht="15.6" hidden="1" x14ac:dyDescent="0.3">
      <c r="A195" s="80"/>
      <c r="B195" s="97"/>
      <c r="C195" s="81"/>
      <c r="D195" s="62"/>
      <c r="E195" s="61"/>
      <c r="F195" s="63" t="s">
        <v>31</v>
      </c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95"/>
      <c r="R195" s="18"/>
      <c r="W195" s="16">
        <f t="shared" si="92"/>
        <v>0</v>
      </c>
    </row>
    <row r="196" spans="1:23" ht="15.75" customHeight="1" x14ac:dyDescent="0.3">
      <c r="A196" s="80"/>
      <c r="B196" s="97" t="s">
        <v>80</v>
      </c>
      <c r="C196" s="9"/>
      <c r="D196" s="126"/>
      <c r="E196" s="82"/>
      <c r="F196" s="63" t="s">
        <v>18</v>
      </c>
      <c r="G196" s="72">
        <f>SUM(G197:G207)</f>
        <v>2308.9</v>
      </c>
      <c r="H196" s="72">
        <f t="shared" ref="H196:P196" si="93">SUM(H197:H207)</f>
        <v>968.9</v>
      </c>
      <c r="I196" s="72">
        <f t="shared" si="93"/>
        <v>1515.9</v>
      </c>
      <c r="J196" s="72">
        <f t="shared" si="93"/>
        <v>175.89999999999998</v>
      </c>
      <c r="K196" s="72">
        <f t="shared" si="93"/>
        <v>0</v>
      </c>
      <c r="L196" s="72">
        <f t="shared" si="93"/>
        <v>0</v>
      </c>
      <c r="M196" s="72">
        <f t="shared" si="93"/>
        <v>0</v>
      </c>
      <c r="N196" s="72">
        <f t="shared" si="93"/>
        <v>0</v>
      </c>
      <c r="O196" s="72">
        <f t="shared" si="93"/>
        <v>793</v>
      </c>
      <c r="P196" s="72">
        <f t="shared" si="93"/>
        <v>793</v>
      </c>
      <c r="Q196" s="95"/>
      <c r="R196" s="18"/>
      <c r="W196" s="16">
        <f t="shared" si="92"/>
        <v>1340</v>
      </c>
    </row>
    <row r="197" spans="1:23" s="6" customFormat="1" ht="43.5" customHeight="1" x14ac:dyDescent="0.3">
      <c r="A197" s="80"/>
      <c r="B197" s="97"/>
      <c r="C197" s="63" t="s">
        <v>77</v>
      </c>
      <c r="D197" s="127"/>
      <c r="E197" s="82"/>
      <c r="F197" s="63" t="s">
        <v>20</v>
      </c>
      <c r="G197" s="72">
        <f t="shared" ref="G197:H200" si="94">I197+K197+M197+O197</f>
        <v>620</v>
      </c>
      <c r="H197" s="72">
        <f t="shared" si="94"/>
        <v>180</v>
      </c>
      <c r="I197" s="72">
        <f>440+J197</f>
        <v>440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180</v>
      </c>
      <c r="P197" s="72">
        <f t="shared" ref="P197:P198" si="95">O197</f>
        <v>180</v>
      </c>
      <c r="Q197" s="95"/>
      <c r="R197" s="37"/>
      <c r="W197" s="16">
        <f t="shared" si="92"/>
        <v>440</v>
      </c>
    </row>
    <row r="198" spans="1:23" ht="15.6" customHeight="1" x14ac:dyDescent="0.3">
      <c r="A198" s="80"/>
      <c r="B198" s="97"/>
      <c r="C198" s="79" t="s">
        <v>81</v>
      </c>
      <c r="D198" s="127"/>
      <c r="E198" s="82"/>
      <c r="F198" s="63" t="s">
        <v>22</v>
      </c>
      <c r="G198" s="72">
        <f t="shared" si="94"/>
        <v>256.89999999999998</v>
      </c>
      <c r="H198" s="72">
        <f t="shared" si="94"/>
        <v>256.89999999999998</v>
      </c>
      <c r="I198" s="72">
        <f t="shared" ref="I198:I199" si="96">J198</f>
        <v>99.6</v>
      </c>
      <c r="J198" s="72">
        <v>99.6</v>
      </c>
      <c r="K198" s="72">
        <v>0</v>
      </c>
      <c r="L198" s="72">
        <v>0</v>
      </c>
      <c r="M198" s="72">
        <v>0</v>
      </c>
      <c r="N198" s="72">
        <v>0</v>
      </c>
      <c r="O198" s="72">
        <v>157.30000000000001</v>
      </c>
      <c r="P198" s="72">
        <f t="shared" si="95"/>
        <v>157.30000000000001</v>
      </c>
      <c r="Q198" s="95"/>
      <c r="R198" s="18"/>
      <c r="W198" s="16">
        <f t="shared" si="92"/>
        <v>0</v>
      </c>
    </row>
    <row r="199" spans="1:23" ht="15.6" customHeight="1" x14ac:dyDescent="0.3">
      <c r="A199" s="80"/>
      <c r="B199" s="97"/>
      <c r="C199" s="80"/>
      <c r="D199" s="127"/>
      <c r="E199" s="82"/>
      <c r="F199" s="63" t="s">
        <v>23</v>
      </c>
      <c r="G199" s="72">
        <f t="shared" si="94"/>
        <v>287.5</v>
      </c>
      <c r="H199" s="72">
        <f t="shared" si="94"/>
        <v>287.5</v>
      </c>
      <c r="I199" s="72">
        <f t="shared" si="96"/>
        <v>76.3</v>
      </c>
      <c r="J199" s="72">
        <v>76.3</v>
      </c>
      <c r="K199" s="72">
        <v>0</v>
      </c>
      <c r="L199" s="72">
        <v>0</v>
      </c>
      <c r="M199" s="72">
        <v>0</v>
      </c>
      <c r="N199" s="72">
        <v>0</v>
      </c>
      <c r="O199" s="72">
        <f>P199</f>
        <v>211.2</v>
      </c>
      <c r="P199" s="72">
        <v>211.2</v>
      </c>
      <c r="Q199" s="95"/>
      <c r="R199" s="18"/>
      <c r="W199" s="16">
        <f t="shared" si="92"/>
        <v>0</v>
      </c>
    </row>
    <row r="200" spans="1:23" ht="15.6" x14ac:dyDescent="0.3">
      <c r="A200" s="80"/>
      <c r="B200" s="97"/>
      <c r="C200" s="80"/>
      <c r="D200" s="127"/>
      <c r="E200" s="82"/>
      <c r="F200" s="63" t="s">
        <v>24</v>
      </c>
      <c r="G200" s="72">
        <f t="shared" si="94"/>
        <v>1144.5</v>
      </c>
      <c r="H200" s="72">
        <f t="shared" si="94"/>
        <v>244.5</v>
      </c>
      <c r="I200" s="72">
        <v>900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  <c r="O200" s="72">
        <v>244.5</v>
      </c>
      <c r="P200" s="72">
        <v>244.5</v>
      </c>
      <c r="Q200" s="95"/>
      <c r="R200" s="18"/>
      <c r="W200" s="16">
        <f t="shared" si="92"/>
        <v>900</v>
      </c>
    </row>
    <row r="201" spans="1:23" ht="15.6" customHeight="1" x14ac:dyDescent="0.3">
      <c r="A201" s="80"/>
      <c r="B201" s="97"/>
      <c r="C201" s="34"/>
      <c r="D201" s="127"/>
      <c r="E201" s="82"/>
      <c r="F201" s="63" t="s">
        <v>25</v>
      </c>
      <c r="G201" s="107" t="s">
        <v>82</v>
      </c>
      <c r="H201" s="108"/>
      <c r="I201" s="108"/>
      <c r="J201" s="108"/>
      <c r="K201" s="108"/>
      <c r="L201" s="108"/>
      <c r="M201" s="108"/>
      <c r="N201" s="108"/>
      <c r="O201" s="108"/>
      <c r="P201" s="109"/>
      <c r="Q201" s="95"/>
      <c r="R201" s="18"/>
      <c r="W201" s="16">
        <f t="shared" si="92"/>
        <v>0</v>
      </c>
    </row>
    <row r="202" spans="1:23" ht="15.6" hidden="1" x14ac:dyDescent="0.3">
      <c r="A202" s="80"/>
      <c r="B202" s="97"/>
      <c r="C202" s="34"/>
      <c r="D202" s="34"/>
      <c r="E202" s="34"/>
      <c r="F202" s="63" t="s">
        <v>26</v>
      </c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95"/>
      <c r="R202" s="18"/>
      <c r="W202" s="16">
        <f t="shared" si="92"/>
        <v>0</v>
      </c>
    </row>
    <row r="203" spans="1:23" ht="15.6" hidden="1" x14ac:dyDescent="0.3">
      <c r="A203" s="80"/>
      <c r="B203" s="97"/>
      <c r="C203" s="34"/>
      <c r="D203" s="34"/>
      <c r="E203" s="34"/>
      <c r="F203" s="63" t="s">
        <v>27</v>
      </c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95"/>
      <c r="R203" s="18"/>
      <c r="W203" s="16">
        <f t="shared" si="92"/>
        <v>0</v>
      </c>
    </row>
    <row r="204" spans="1:23" ht="15.6" hidden="1" x14ac:dyDescent="0.3">
      <c r="A204" s="80"/>
      <c r="B204" s="97"/>
      <c r="C204" s="34"/>
      <c r="D204" s="34"/>
      <c r="E204" s="34"/>
      <c r="F204" s="63" t="s">
        <v>28</v>
      </c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95"/>
      <c r="R204" s="18"/>
      <c r="W204" s="16">
        <f t="shared" si="92"/>
        <v>0</v>
      </c>
    </row>
    <row r="205" spans="1:23" ht="15.6" hidden="1" x14ac:dyDescent="0.3">
      <c r="A205" s="80"/>
      <c r="B205" s="97"/>
      <c r="C205" s="34"/>
      <c r="D205" s="34"/>
      <c r="E205" s="34"/>
      <c r="F205" s="63" t="s">
        <v>29</v>
      </c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95"/>
      <c r="R205" s="18"/>
      <c r="W205" s="16">
        <f t="shared" si="92"/>
        <v>0</v>
      </c>
    </row>
    <row r="206" spans="1:23" ht="15.6" hidden="1" x14ac:dyDescent="0.3">
      <c r="A206" s="80"/>
      <c r="B206" s="97"/>
      <c r="C206" s="34"/>
      <c r="D206" s="34"/>
      <c r="E206" s="34"/>
      <c r="F206" s="63" t="s">
        <v>30</v>
      </c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95"/>
      <c r="R206" s="18"/>
      <c r="W206" s="16">
        <f t="shared" si="92"/>
        <v>0</v>
      </c>
    </row>
    <row r="207" spans="1:23" ht="15.6" hidden="1" x14ac:dyDescent="0.3">
      <c r="A207" s="80"/>
      <c r="B207" s="97"/>
      <c r="C207" s="39"/>
      <c r="D207" s="39"/>
      <c r="E207" s="34"/>
      <c r="F207" s="63" t="s">
        <v>31</v>
      </c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95"/>
      <c r="R207" s="18"/>
      <c r="W207" s="16">
        <f t="shared" si="92"/>
        <v>0</v>
      </c>
    </row>
    <row r="208" spans="1:23" s="13" customFormat="1" ht="15.6" x14ac:dyDescent="0.3">
      <c r="A208" s="80"/>
      <c r="B208" s="97" t="s">
        <v>83</v>
      </c>
      <c r="C208" s="79" t="s">
        <v>65</v>
      </c>
      <c r="D208" s="60"/>
      <c r="E208" s="80"/>
      <c r="F208" s="63" t="s">
        <v>18</v>
      </c>
      <c r="G208" s="72">
        <f t="shared" ref="G208:P208" si="97">SUM(G209:G214)</f>
        <v>2350</v>
      </c>
      <c r="H208" s="72">
        <f t="shared" si="97"/>
        <v>100</v>
      </c>
      <c r="I208" s="72">
        <f t="shared" si="97"/>
        <v>2250</v>
      </c>
      <c r="J208" s="72">
        <f t="shared" si="97"/>
        <v>0</v>
      </c>
      <c r="K208" s="72">
        <f t="shared" si="97"/>
        <v>0</v>
      </c>
      <c r="L208" s="72">
        <f t="shared" si="97"/>
        <v>0</v>
      </c>
      <c r="M208" s="72">
        <f t="shared" si="97"/>
        <v>0</v>
      </c>
      <c r="N208" s="72">
        <f t="shared" si="97"/>
        <v>0</v>
      </c>
      <c r="O208" s="72">
        <f t="shared" si="97"/>
        <v>100</v>
      </c>
      <c r="P208" s="72">
        <f t="shared" si="97"/>
        <v>100</v>
      </c>
      <c r="Q208" s="95"/>
      <c r="R208" s="18"/>
      <c r="W208" s="16">
        <f t="shared" si="92"/>
        <v>2250</v>
      </c>
    </row>
    <row r="209" spans="1:23" s="6" customFormat="1" ht="55.2" customHeight="1" x14ac:dyDescent="0.3">
      <c r="A209" s="80"/>
      <c r="B209" s="97"/>
      <c r="C209" s="80"/>
      <c r="D209" s="61"/>
      <c r="E209" s="80"/>
      <c r="F209" s="63" t="s">
        <v>20</v>
      </c>
      <c r="G209" s="72">
        <f>I209+K209+M209+O209</f>
        <v>2350</v>
      </c>
      <c r="H209" s="72">
        <f>J209+L209+N209+P209</f>
        <v>100</v>
      </c>
      <c r="I209" s="72">
        <v>2250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100</v>
      </c>
      <c r="P209" s="72">
        <f>O209</f>
        <v>100</v>
      </c>
      <c r="Q209" s="95"/>
      <c r="R209" s="37"/>
      <c r="W209" s="16">
        <f t="shared" si="92"/>
        <v>2250</v>
      </c>
    </row>
    <row r="210" spans="1:23" ht="36" customHeight="1" x14ac:dyDescent="0.3">
      <c r="A210" s="80"/>
      <c r="B210" s="97"/>
      <c r="C210" s="81"/>
      <c r="D210" s="62"/>
      <c r="E210" s="80"/>
      <c r="F210" s="63" t="s">
        <v>22</v>
      </c>
      <c r="G210" s="107" t="s">
        <v>84</v>
      </c>
      <c r="H210" s="108"/>
      <c r="I210" s="108"/>
      <c r="J210" s="108"/>
      <c r="K210" s="108"/>
      <c r="L210" s="108"/>
      <c r="M210" s="108"/>
      <c r="N210" s="108"/>
      <c r="O210" s="108"/>
      <c r="P210" s="109"/>
      <c r="Q210" s="95"/>
      <c r="R210" s="18"/>
      <c r="W210" s="16">
        <f t="shared" si="92"/>
        <v>0</v>
      </c>
    </row>
    <row r="211" spans="1:23" ht="15.6" hidden="1" x14ac:dyDescent="0.3">
      <c r="A211" s="80"/>
      <c r="B211" s="97"/>
      <c r="C211" s="63"/>
      <c r="D211" s="63"/>
      <c r="E211" s="62"/>
      <c r="F211" s="63" t="s">
        <v>23</v>
      </c>
      <c r="G211" s="110"/>
      <c r="H211" s="111"/>
      <c r="I211" s="111"/>
      <c r="J211" s="111"/>
      <c r="K211" s="111"/>
      <c r="L211" s="111"/>
      <c r="M211" s="111"/>
      <c r="N211" s="111"/>
      <c r="O211" s="111"/>
      <c r="P211" s="112"/>
      <c r="Q211" s="95"/>
      <c r="R211" s="18"/>
      <c r="W211" s="16">
        <f t="shared" si="92"/>
        <v>0</v>
      </c>
    </row>
    <row r="212" spans="1:23" ht="15.6" hidden="1" x14ac:dyDescent="0.3">
      <c r="A212" s="80"/>
      <c r="B212" s="97"/>
      <c r="C212" s="63"/>
      <c r="D212" s="63"/>
      <c r="E212" s="63"/>
      <c r="F212" s="63" t="s">
        <v>24</v>
      </c>
      <c r="G212" s="110"/>
      <c r="H212" s="111"/>
      <c r="I212" s="111"/>
      <c r="J212" s="111"/>
      <c r="K212" s="111"/>
      <c r="L212" s="111"/>
      <c r="M212" s="111"/>
      <c r="N212" s="111"/>
      <c r="O212" s="111"/>
      <c r="P212" s="112"/>
      <c r="Q212" s="95"/>
      <c r="R212" s="18"/>
      <c r="W212" s="16">
        <f t="shared" si="92"/>
        <v>0</v>
      </c>
    </row>
    <row r="213" spans="1:23" ht="15.6" hidden="1" x14ac:dyDescent="0.3">
      <c r="A213" s="80"/>
      <c r="B213" s="97"/>
      <c r="C213" s="63"/>
      <c r="D213" s="63"/>
      <c r="E213" s="63"/>
      <c r="F213" s="63" t="s">
        <v>25</v>
      </c>
      <c r="G213" s="110"/>
      <c r="H213" s="111"/>
      <c r="I213" s="111"/>
      <c r="J213" s="111"/>
      <c r="K213" s="111"/>
      <c r="L213" s="111"/>
      <c r="M213" s="111"/>
      <c r="N213" s="111"/>
      <c r="O213" s="111"/>
      <c r="P213" s="112"/>
      <c r="Q213" s="95"/>
      <c r="R213" s="18"/>
      <c r="W213" s="16">
        <f t="shared" si="92"/>
        <v>0</v>
      </c>
    </row>
    <row r="214" spans="1:23" ht="15.6" hidden="1" x14ac:dyDescent="0.3">
      <c r="A214" s="80"/>
      <c r="B214" s="97"/>
      <c r="C214" s="63"/>
      <c r="D214" s="63"/>
      <c r="E214" s="63"/>
      <c r="F214" s="63" t="s">
        <v>26</v>
      </c>
      <c r="G214" s="113"/>
      <c r="H214" s="114"/>
      <c r="I214" s="114"/>
      <c r="J214" s="114"/>
      <c r="K214" s="114"/>
      <c r="L214" s="114"/>
      <c r="M214" s="114"/>
      <c r="N214" s="114"/>
      <c r="O214" s="114"/>
      <c r="P214" s="115"/>
      <c r="Q214" s="95"/>
      <c r="R214" s="18"/>
      <c r="W214" s="16">
        <f t="shared" si="92"/>
        <v>0</v>
      </c>
    </row>
    <row r="215" spans="1:23" s="13" customFormat="1" ht="15.6" x14ac:dyDescent="0.3">
      <c r="A215" s="80"/>
      <c r="B215" s="97" t="s">
        <v>85</v>
      </c>
      <c r="C215" s="79" t="s">
        <v>65</v>
      </c>
      <c r="D215" s="60"/>
      <c r="E215" s="79"/>
      <c r="F215" s="63" t="s">
        <v>18</v>
      </c>
      <c r="G215" s="72">
        <f>SUM(G216:G221)</f>
        <v>511.8</v>
      </c>
      <c r="H215" s="72">
        <f t="shared" ref="H215:P215" si="98">SUM(H216:H221)</f>
        <v>141.4</v>
      </c>
      <c r="I215" s="72">
        <f t="shared" si="98"/>
        <v>220</v>
      </c>
      <c r="J215" s="72">
        <f t="shared" si="98"/>
        <v>29.6</v>
      </c>
      <c r="K215" s="72">
        <f t="shared" si="98"/>
        <v>0</v>
      </c>
      <c r="L215" s="72">
        <f t="shared" si="98"/>
        <v>0</v>
      </c>
      <c r="M215" s="72">
        <f t="shared" si="98"/>
        <v>180</v>
      </c>
      <c r="N215" s="72">
        <f t="shared" si="98"/>
        <v>0</v>
      </c>
      <c r="O215" s="72">
        <f t="shared" si="98"/>
        <v>111.8</v>
      </c>
      <c r="P215" s="72">
        <f t="shared" si="98"/>
        <v>111.8</v>
      </c>
      <c r="Q215" s="95"/>
      <c r="R215" s="18"/>
      <c r="W215" s="16">
        <f t="shared" si="92"/>
        <v>190.4</v>
      </c>
    </row>
    <row r="216" spans="1:23" s="6" customFormat="1" ht="57" customHeight="1" x14ac:dyDescent="0.3">
      <c r="A216" s="80"/>
      <c r="B216" s="97"/>
      <c r="C216" s="80"/>
      <c r="D216" s="61"/>
      <c r="E216" s="80"/>
      <c r="F216" s="63" t="s">
        <v>20</v>
      </c>
      <c r="G216" s="72">
        <f>I216+K216+M216+O216</f>
        <v>511.8</v>
      </c>
      <c r="H216" s="72">
        <f>J216+L216+N216+P216</f>
        <v>141.4</v>
      </c>
      <c r="I216" s="72">
        <v>220</v>
      </c>
      <c r="J216" s="72">
        <v>29.6</v>
      </c>
      <c r="K216" s="72">
        <v>0</v>
      </c>
      <c r="L216" s="72">
        <v>0</v>
      </c>
      <c r="M216" s="72">
        <v>180</v>
      </c>
      <c r="N216" s="72">
        <v>0</v>
      </c>
      <c r="O216" s="72">
        <v>111.8</v>
      </c>
      <c r="P216" s="72">
        <f>O216</f>
        <v>111.8</v>
      </c>
      <c r="Q216" s="95"/>
      <c r="R216" s="37"/>
      <c r="W216" s="16">
        <f t="shared" si="92"/>
        <v>190.4</v>
      </c>
    </row>
    <row r="217" spans="1:23" ht="71.400000000000006" customHeight="1" x14ac:dyDescent="0.3">
      <c r="A217" s="80"/>
      <c r="B217" s="97"/>
      <c r="C217" s="81"/>
      <c r="D217" s="62"/>
      <c r="E217" s="80"/>
      <c r="F217" s="63" t="s">
        <v>22</v>
      </c>
      <c r="G217" s="107" t="s">
        <v>84</v>
      </c>
      <c r="H217" s="108"/>
      <c r="I217" s="108"/>
      <c r="J217" s="108"/>
      <c r="K217" s="108"/>
      <c r="L217" s="108"/>
      <c r="M217" s="108"/>
      <c r="N217" s="108"/>
      <c r="O217" s="108"/>
      <c r="P217" s="109"/>
      <c r="Q217" s="95"/>
      <c r="R217" s="18"/>
      <c r="W217" s="16">
        <f t="shared" si="92"/>
        <v>0</v>
      </c>
    </row>
    <row r="218" spans="1:23" ht="15.6" hidden="1" x14ac:dyDescent="0.3">
      <c r="A218" s="80"/>
      <c r="B218" s="97"/>
      <c r="C218" s="63"/>
      <c r="D218" s="63"/>
      <c r="E218" s="62"/>
      <c r="F218" s="63" t="s">
        <v>23</v>
      </c>
      <c r="G218" s="110"/>
      <c r="H218" s="111"/>
      <c r="I218" s="111"/>
      <c r="J218" s="111"/>
      <c r="K218" s="111"/>
      <c r="L218" s="111"/>
      <c r="M218" s="111"/>
      <c r="N218" s="111"/>
      <c r="O218" s="111"/>
      <c r="P218" s="112"/>
      <c r="Q218" s="95"/>
      <c r="R218" s="18"/>
      <c r="W218" s="16">
        <f t="shared" si="92"/>
        <v>0</v>
      </c>
    </row>
    <row r="219" spans="1:23" ht="15.6" hidden="1" x14ac:dyDescent="0.3">
      <c r="A219" s="80"/>
      <c r="B219" s="97"/>
      <c r="C219" s="63"/>
      <c r="D219" s="63"/>
      <c r="E219" s="63"/>
      <c r="F219" s="63" t="s">
        <v>24</v>
      </c>
      <c r="G219" s="110"/>
      <c r="H219" s="111"/>
      <c r="I219" s="111"/>
      <c r="J219" s="111"/>
      <c r="K219" s="111"/>
      <c r="L219" s="111"/>
      <c r="M219" s="111"/>
      <c r="N219" s="111"/>
      <c r="O219" s="111"/>
      <c r="P219" s="112"/>
      <c r="Q219" s="95"/>
      <c r="R219" s="18"/>
      <c r="W219" s="16">
        <f t="shared" si="92"/>
        <v>0</v>
      </c>
    </row>
    <row r="220" spans="1:23" ht="15.6" hidden="1" x14ac:dyDescent="0.3">
      <c r="A220" s="80"/>
      <c r="B220" s="97"/>
      <c r="C220" s="63"/>
      <c r="D220" s="63"/>
      <c r="E220" s="63"/>
      <c r="F220" s="63" t="s">
        <v>25</v>
      </c>
      <c r="G220" s="110"/>
      <c r="H220" s="111"/>
      <c r="I220" s="111"/>
      <c r="J220" s="111"/>
      <c r="K220" s="111"/>
      <c r="L220" s="111"/>
      <c r="M220" s="111"/>
      <c r="N220" s="111"/>
      <c r="O220" s="111"/>
      <c r="P220" s="112"/>
      <c r="Q220" s="95"/>
      <c r="R220" s="18"/>
      <c r="W220" s="16">
        <f t="shared" si="92"/>
        <v>0</v>
      </c>
    </row>
    <row r="221" spans="1:23" ht="15.6" hidden="1" x14ac:dyDescent="0.3">
      <c r="A221" s="80"/>
      <c r="B221" s="97"/>
      <c r="C221" s="63"/>
      <c r="D221" s="63"/>
      <c r="E221" s="63"/>
      <c r="F221" s="63" t="s">
        <v>26</v>
      </c>
      <c r="G221" s="113"/>
      <c r="H221" s="114"/>
      <c r="I221" s="114"/>
      <c r="J221" s="114"/>
      <c r="K221" s="114"/>
      <c r="L221" s="114"/>
      <c r="M221" s="114"/>
      <c r="N221" s="114"/>
      <c r="O221" s="114"/>
      <c r="P221" s="115"/>
      <c r="Q221" s="95"/>
      <c r="R221" s="18"/>
      <c r="W221" s="16">
        <f t="shared" si="92"/>
        <v>0</v>
      </c>
    </row>
    <row r="222" spans="1:23" s="13" customFormat="1" ht="15.6" x14ac:dyDescent="0.3">
      <c r="A222" s="80"/>
      <c r="B222" s="97" t="s">
        <v>86</v>
      </c>
      <c r="C222" s="79" t="s">
        <v>65</v>
      </c>
      <c r="D222" s="60"/>
      <c r="E222" s="79"/>
      <c r="F222" s="63" t="s">
        <v>18</v>
      </c>
      <c r="G222" s="72">
        <f>SUM(G223:G228)</f>
        <v>1300</v>
      </c>
      <c r="H222" s="72">
        <f t="shared" ref="H222:P222" si="99">SUM(H223:H228)</f>
        <v>600</v>
      </c>
      <c r="I222" s="72">
        <f t="shared" si="99"/>
        <v>500</v>
      </c>
      <c r="J222" s="72">
        <f t="shared" si="99"/>
        <v>0</v>
      </c>
      <c r="K222" s="72">
        <f t="shared" si="99"/>
        <v>0</v>
      </c>
      <c r="L222" s="72">
        <f t="shared" si="99"/>
        <v>0</v>
      </c>
      <c r="M222" s="72">
        <f t="shared" si="99"/>
        <v>200</v>
      </c>
      <c r="N222" s="72">
        <f t="shared" si="99"/>
        <v>0</v>
      </c>
      <c r="O222" s="72">
        <f>SUM(O223:O228)</f>
        <v>600</v>
      </c>
      <c r="P222" s="72">
        <f t="shared" si="99"/>
        <v>600</v>
      </c>
      <c r="Q222" s="95"/>
      <c r="R222" s="18"/>
      <c r="W222" s="16">
        <f t="shared" si="92"/>
        <v>500</v>
      </c>
    </row>
    <row r="223" spans="1:23" s="6" customFormat="1" ht="48" customHeight="1" x14ac:dyDescent="0.3">
      <c r="A223" s="80"/>
      <c r="B223" s="97"/>
      <c r="C223" s="80"/>
      <c r="D223" s="61"/>
      <c r="E223" s="80"/>
      <c r="F223" s="63" t="s">
        <v>20</v>
      </c>
      <c r="G223" s="72">
        <f>I223+K223+M223+O223</f>
        <v>1300</v>
      </c>
      <c r="H223" s="72">
        <f>J223+L223+N223+P223</f>
        <v>600</v>
      </c>
      <c r="I223" s="72">
        <f>500+J223</f>
        <v>500</v>
      </c>
      <c r="J223" s="72">
        <v>0</v>
      </c>
      <c r="K223" s="72">
        <v>0</v>
      </c>
      <c r="L223" s="72">
        <v>0</v>
      </c>
      <c r="M223" s="72">
        <v>200</v>
      </c>
      <c r="N223" s="72">
        <v>0</v>
      </c>
      <c r="O223" s="72">
        <v>600</v>
      </c>
      <c r="P223" s="72">
        <f>O223</f>
        <v>600</v>
      </c>
      <c r="Q223" s="95"/>
      <c r="R223" s="37"/>
      <c r="W223" s="16">
        <f t="shared" si="92"/>
        <v>500</v>
      </c>
    </row>
    <row r="224" spans="1:23" ht="93.6" customHeight="1" x14ac:dyDescent="0.3">
      <c r="A224" s="80"/>
      <c r="B224" s="97"/>
      <c r="C224" s="81"/>
      <c r="D224" s="62"/>
      <c r="E224" s="80"/>
      <c r="F224" s="63" t="s">
        <v>22</v>
      </c>
      <c r="G224" s="107" t="s">
        <v>84</v>
      </c>
      <c r="H224" s="108"/>
      <c r="I224" s="108"/>
      <c r="J224" s="108"/>
      <c r="K224" s="108"/>
      <c r="L224" s="108"/>
      <c r="M224" s="108"/>
      <c r="N224" s="108"/>
      <c r="O224" s="108"/>
      <c r="P224" s="109"/>
      <c r="Q224" s="95"/>
      <c r="R224" s="18"/>
      <c r="W224" s="16">
        <f t="shared" si="92"/>
        <v>0</v>
      </c>
    </row>
    <row r="225" spans="1:23" ht="15.6" hidden="1" x14ac:dyDescent="0.3">
      <c r="A225" s="80"/>
      <c r="B225" s="97"/>
      <c r="C225" s="63"/>
      <c r="D225" s="63"/>
      <c r="E225" s="62"/>
      <c r="F225" s="63" t="s">
        <v>23</v>
      </c>
      <c r="G225" s="110"/>
      <c r="H225" s="111"/>
      <c r="I225" s="111"/>
      <c r="J225" s="111"/>
      <c r="K225" s="111"/>
      <c r="L225" s="111"/>
      <c r="M225" s="111"/>
      <c r="N225" s="111"/>
      <c r="O225" s="111"/>
      <c r="P225" s="112"/>
      <c r="Q225" s="95"/>
      <c r="R225" s="18"/>
      <c r="W225" s="16">
        <f t="shared" si="92"/>
        <v>0</v>
      </c>
    </row>
    <row r="226" spans="1:23" ht="15.6" hidden="1" x14ac:dyDescent="0.3">
      <c r="A226" s="80"/>
      <c r="B226" s="97"/>
      <c r="C226" s="63"/>
      <c r="D226" s="63"/>
      <c r="E226" s="63"/>
      <c r="F226" s="63" t="s">
        <v>24</v>
      </c>
      <c r="G226" s="110"/>
      <c r="H226" s="111"/>
      <c r="I226" s="111"/>
      <c r="J226" s="111"/>
      <c r="K226" s="111"/>
      <c r="L226" s="111"/>
      <c r="M226" s="111"/>
      <c r="N226" s="111"/>
      <c r="O226" s="111"/>
      <c r="P226" s="112"/>
      <c r="Q226" s="95"/>
      <c r="R226" s="18"/>
      <c r="W226" s="16">
        <f t="shared" si="92"/>
        <v>0</v>
      </c>
    </row>
    <row r="227" spans="1:23" ht="15.6" hidden="1" x14ac:dyDescent="0.3">
      <c r="A227" s="80"/>
      <c r="B227" s="97"/>
      <c r="C227" s="63"/>
      <c r="D227" s="63"/>
      <c r="E227" s="63"/>
      <c r="F227" s="63" t="s">
        <v>25</v>
      </c>
      <c r="G227" s="110"/>
      <c r="H227" s="111"/>
      <c r="I227" s="111"/>
      <c r="J227" s="111"/>
      <c r="K227" s="111"/>
      <c r="L227" s="111"/>
      <c r="M227" s="111"/>
      <c r="N227" s="111"/>
      <c r="O227" s="111"/>
      <c r="P227" s="112"/>
      <c r="Q227" s="95"/>
      <c r="R227" s="18"/>
      <c r="W227" s="16">
        <f t="shared" si="92"/>
        <v>0</v>
      </c>
    </row>
    <row r="228" spans="1:23" ht="15.6" hidden="1" x14ac:dyDescent="0.3">
      <c r="A228" s="80"/>
      <c r="B228" s="97"/>
      <c r="C228" s="63"/>
      <c r="D228" s="63"/>
      <c r="E228" s="63"/>
      <c r="F228" s="63" t="s">
        <v>26</v>
      </c>
      <c r="G228" s="113"/>
      <c r="H228" s="114"/>
      <c r="I228" s="114"/>
      <c r="J228" s="114"/>
      <c r="K228" s="114"/>
      <c r="L228" s="114"/>
      <c r="M228" s="114"/>
      <c r="N228" s="114"/>
      <c r="O228" s="114"/>
      <c r="P228" s="115"/>
      <c r="Q228" s="95"/>
      <c r="R228" s="18"/>
      <c r="W228" s="16">
        <f t="shared" si="92"/>
        <v>0</v>
      </c>
    </row>
    <row r="229" spans="1:23" ht="15.6" hidden="1" x14ac:dyDescent="0.3">
      <c r="A229" s="80"/>
      <c r="B229" s="97" t="s">
        <v>87</v>
      </c>
      <c r="C229" s="63"/>
      <c r="D229" s="63"/>
      <c r="E229" s="63"/>
      <c r="F229" s="63" t="s">
        <v>18</v>
      </c>
      <c r="G229" s="72">
        <f>SUM(G230:G235)</f>
        <v>0</v>
      </c>
      <c r="H229" s="72">
        <f t="shared" ref="H229:P229" si="100">SUM(H230:H235)</f>
        <v>0</v>
      </c>
      <c r="I229" s="72">
        <f t="shared" si="100"/>
        <v>0</v>
      </c>
      <c r="J229" s="72">
        <f t="shared" si="100"/>
        <v>0</v>
      </c>
      <c r="K229" s="72">
        <f t="shared" si="100"/>
        <v>0</v>
      </c>
      <c r="L229" s="72">
        <f t="shared" si="100"/>
        <v>0</v>
      </c>
      <c r="M229" s="72">
        <f t="shared" si="100"/>
        <v>0</v>
      </c>
      <c r="N229" s="72">
        <f t="shared" si="100"/>
        <v>0</v>
      </c>
      <c r="O229" s="72">
        <f t="shared" si="100"/>
        <v>0</v>
      </c>
      <c r="P229" s="72">
        <f t="shared" si="100"/>
        <v>0</v>
      </c>
      <c r="Q229" s="95"/>
      <c r="R229" s="18"/>
      <c r="W229" s="16">
        <f t="shared" si="92"/>
        <v>0</v>
      </c>
    </row>
    <row r="230" spans="1:23" s="31" customFormat="1" ht="15.6" hidden="1" x14ac:dyDescent="0.3">
      <c r="A230" s="80"/>
      <c r="B230" s="97"/>
      <c r="C230" s="63"/>
      <c r="D230" s="63"/>
      <c r="E230" s="63"/>
      <c r="F230" s="63" t="s">
        <v>20</v>
      </c>
      <c r="G230" s="72">
        <f t="shared" ref="G230:H235" si="101">I230+K230+M230+O230</f>
        <v>0</v>
      </c>
      <c r="H230" s="72">
        <f t="shared" si="101"/>
        <v>0</v>
      </c>
      <c r="I230" s="72"/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f t="shared" ref="O230:O235" si="102">P230</f>
        <v>0</v>
      </c>
      <c r="P230" s="72">
        <v>0</v>
      </c>
      <c r="Q230" s="95"/>
      <c r="R230" s="37"/>
      <c r="W230" s="16">
        <f t="shared" si="92"/>
        <v>0</v>
      </c>
    </row>
    <row r="231" spans="1:23" s="40" customFormat="1" ht="15.6" hidden="1" x14ac:dyDescent="0.3">
      <c r="A231" s="80"/>
      <c r="B231" s="97"/>
      <c r="C231" s="63"/>
      <c r="D231" s="63"/>
      <c r="E231" s="63"/>
      <c r="F231" s="63" t="s">
        <v>22</v>
      </c>
      <c r="G231" s="72">
        <f t="shared" si="101"/>
        <v>0</v>
      </c>
      <c r="H231" s="72">
        <f t="shared" si="101"/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f t="shared" si="102"/>
        <v>0</v>
      </c>
      <c r="P231" s="72">
        <v>0</v>
      </c>
      <c r="Q231" s="95"/>
      <c r="R231" s="18"/>
      <c r="W231" s="16">
        <f t="shared" si="92"/>
        <v>0</v>
      </c>
    </row>
    <row r="232" spans="1:23" s="40" customFormat="1" ht="15.6" hidden="1" x14ac:dyDescent="0.3">
      <c r="A232" s="80"/>
      <c r="B232" s="97"/>
      <c r="C232" s="63"/>
      <c r="D232" s="63"/>
      <c r="E232" s="63"/>
      <c r="F232" s="63" t="s">
        <v>23</v>
      </c>
      <c r="G232" s="72">
        <f t="shared" si="101"/>
        <v>0</v>
      </c>
      <c r="H232" s="72">
        <f t="shared" si="101"/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f t="shared" si="102"/>
        <v>0</v>
      </c>
      <c r="P232" s="72">
        <v>0</v>
      </c>
      <c r="Q232" s="95"/>
      <c r="R232" s="18"/>
      <c r="W232" s="16">
        <f t="shared" si="92"/>
        <v>0</v>
      </c>
    </row>
    <row r="233" spans="1:23" s="40" customFormat="1" ht="15.6" hidden="1" x14ac:dyDescent="0.3">
      <c r="A233" s="80"/>
      <c r="B233" s="97"/>
      <c r="C233" s="63"/>
      <c r="D233" s="63"/>
      <c r="E233" s="63"/>
      <c r="F233" s="63" t="s">
        <v>24</v>
      </c>
      <c r="G233" s="72">
        <f t="shared" si="101"/>
        <v>0</v>
      </c>
      <c r="H233" s="72">
        <f t="shared" si="101"/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f t="shared" si="102"/>
        <v>0</v>
      </c>
      <c r="P233" s="72">
        <v>0</v>
      </c>
      <c r="Q233" s="95"/>
      <c r="R233" s="18"/>
      <c r="W233" s="16">
        <f t="shared" si="92"/>
        <v>0</v>
      </c>
    </row>
    <row r="234" spans="1:23" s="40" customFormat="1" ht="15.6" hidden="1" x14ac:dyDescent="0.3">
      <c r="A234" s="80"/>
      <c r="B234" s="97"/>
      <c r="C234" s="63"/>
      <c r="D234" s="63"/>
      <c r="E234" s="63"/>
      <c r="F234" s="63" t="s">
        <v>25</v>
      </c>
      <c r="G234" s="72">
        <f t="shared" si="101"/>
        <v>0</v>
      </c>
      <c r="H234" s="72">
        <f t="shared" si="101"/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  <c r="O234" s="72">
        <f t="shared" si="102"/>
        <v>0</v>
      </c>
      <c r="P234" s="72">
        <v>0</v>
      </c>
      <c r="Q234" s="95"/>
      <c r="R234" s="18"/>
      <c r="W234" s="16">
        <f t="shared" si="92"/>
        <v>0</v>
      </c>
    </row>
    <row r="235" spans="1:23" s="40" customFormat="1" ht="15.6" hidden="1" x14ac:dyDescent="0.3">
      <c r="A235" s="80"/>
      <c r="B235" s="97"/>
      <c r="C235" s="63"/>
      <c r="D235" s="63"/>
      <c r="E235" s="63"/>
      <c r="F235" s="63" t="s">
        <v>26</v>
      </c>
      <c r="G235" s="72">
        <f t="shared" si="101"/>
        <v>0</v>
      </c>
      <c r="H235" s="72">
        <f t="shared" si="101"/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  <c r="O235" s="72">
        <f t="shared" si="102"/>
        <v>0</v>
      </c>
      <c r="P235" s="72">
        <v>0</v>
      </c>
      <c r="Q235" s="95"/>
      <c r="R235" s="18"/>
      <c r="W235" s="16">
        <f t="shared" si="92"/>
        <v>0</v>
      </c>
    </row>
    <row r="236" spans="1:23" s="41" customFormat="1" ht="15.6" x14ac:dyDescent="0.3">
      <c r="A236" s="80"/>
      <c r="B236" s="97" t="s">
        <v>88</v>
      </c>
      <c r="C236" s="35"/>
      <c r="D236" s="79" t="s">
        <v>51</v>
      </c>
      <c r="E236" s="79" t="s">
        <v>89</v>
      </c>
      <c r="F236" s="63" t="s">
        <v>18</v>
      </c>
      <c r="G236" s="72">
        <f>SUM(G237:G247)</f>
        <v>22214.1</v>
      </c>
      <c r="H236" s="72">
        <f t="shared" ref="H236:P236" si="103">SUM(H237:H247)</f>
        <v>4527.6000000000004</v>
      </c>
      <c r="I236" s="72">
        <f t="shared" si="103"/>
        <v>21030</v>
      </c>
      <c r="J236" s="72">
        <f t="shared" si="103"/>
        <v>3343.4999999999995</v>
      </c>
      <c r="K236" s="72">
        <f t="shared" si="103"/>
        <v>0</v>
      </c>
      <c r="L236" s="72">
        <f t="shared" si="103"/>
        <v>0</v>
      </c>
      <c r="M236" s="72">
        <f t="shared" si="103"/>
        <v>0</v>
      </c>
      <c r="N236" s="72">
        <f t="shared" si="103"/>
        <v>0</v>
      </c>
      <c r="O236" s="72">
        <f t="shared" si="103"/>
        <v>1184.0999999999999</v>
      </c>
      <c r="P236" s="72">
        <f t="shared" si="103"/>
        <v>1184.0999999999999</v>
      </c>
      <c r="Q236" s="95"/>
      <c r="R236" s="18"/>
      <c r="W236" s="16">
        <f t="shared" si="92"/>
        <v>17686.5</v>
      </c>
    </row>
    <row r="237" spans="1:23" s="6" customFormat="1" ht="52.8" x14ac:dyDescent="0.3">
      <c r="A237" s="80"/>
      <c r="B237" s="97"/>
      <c r="C237" s="63" t="s">
        <v>90</v>
      </c>
      <c r="D237" s="80"/>
      <c r="E237" s="80"/>
      <c r="F237" s="63" t="s">
        <v>20</v>
      </c>
      <c r="G237" s="72">
        <f t="shared" ref="G237:H247" si="104">I237+K237+M237+O237</f>
        <v>195</v>
      </c>
      <c r="H237" s="72">
        <f t="shared" si="104"/>
        <v>89</v>
      </c>
      <c r="I237" s="72">
        <v>106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89</v>
      </c>
      <c r="P237" s="72">
        <f>O237</f>
        <v>89</v>
      </c>
      <c r="Q237" s="95"/>
      <c r="R237" s="37"/>
      <c r="W237" s="16">
        <f t="shared" si="92"/>
        <v>106</v>
      </c>
    </row>
    <row r="238" spans="1:23" ht="15.6" customHeight="1" x14ac:dyDescent="0.3">
      <c r="A238" s="80"/>
      <c r="B238" s="97"/>
      <c r="C238" s="79" t="s">
        <v>91</v>
      </c>
      <c r="D238" s="80"/>
      <c r="E238" s="80"/>
      <c r="F238" s="63" t="s">
        <v>22</v>
      </c>
      <c r="G238" s="72">
        <f t="shared" si="104"/>
        <v>1160</v>
      </c>
      <c r="H238" s="72">
        <f t="shared" si="104"/>
        <v>1160</v>
      </c>
      <c r="I238" s="72">
        <f t="shared" ref="I238:I239" si="105">J238</f>
        <v>1160</v>
      </c>
      <c r="J238" s="72">
        <f>666+560-66</f>
        <v>1160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  <c r="Q238" s="95"/>
      <c r="R238" s="18"/>
      <c r="W238" s="16">
        <f t="shared" si="92"/>
        <v>0</v>
      </c>
    </row>
    <row r="239" spans="1:23" ht="15.6" customHeight="1" x14ac:dyDescent="0.3">
      <c r="A239" s="80"/>
      <c r="B239" s="97"/>
      <c r="C239" s="80"/>
      <c r="D239" s="80"/>
      <c r="E239" s="80"/>
      <c r="F239" s="63" t="s">
        <v>23</v>
      </c>
      <c r="G239" s="72">
        <f t="shared" si="104"/>
        <v>106</v>
      </c>
      <c r="H239" s="72">
        <f t="shared" si="104"/>
        <v>106</v>
      </c>
      <c r="I239" s="72">
        <f t="shared" si="105"/>
        <v>106</v>
      </c>
      <c r="J239" s="72">
        <v>106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  <c r="Q239" s="95"/>
      <c r="R239" s="18"/>
      <c r="W239" s="16">
        <f t="shared" si="92"/>
        <v>0</v>
      </c>
    </row>
    <row r="240" spans="1:23" ht="90.75" customHeight="1" x14ac:dyDescent="0.3">
      <c r="A240" s="80"/>
      <c r="B240" s="97"/>
      <c r="C240" s="80"/>
      <c r="D240" s="80"/>
      <c r="E240" s="80"/>
      <c r="F240" s="63" t="s">
        <v>24</v>
      </c>
      <c r="G240" s="72">
        <f t="shared" si="104"/>
        <v>106</v>
      </c>
      <c r="H240" s="72">
        <f t="shared" si="104"/>
        <v>0</v>
      </c>
      <c r="I240" s="72">
        <v>106</v>
      </c>
      <c r="J240" s="72">
        <f>106-106</f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  <c r="Q240" s="95"/>
      <c r="R240" s="18"/>
      <c r="W240" s="16">
        <f t="shared" si="92"/>
        <v>106</v>
      </c>
    </row>
    <row r="241" spans="1:27" ht="15.6" x14ac:dyDescent="0.3">
      <c r="A241" s="80"/>
      <c r="B241" s="97"/>
      <c r="C241" s="80"/>
      <c r="D241" s="80"/>
      <c r="E241" s="80"/>
      <c r="F241" s="63" t="s">
        <v>25</v>
      </c>
      <c r="G241" s="72">
        <f t="shared" si="104"/>
        <v>106</v>
      </c>
      <c r="H241" s="72">
        <f t="shared" si="104"/>
        <v>106</v>
      </c>
      <c r="I241" s="72">
        <v>106</v>
      </c>
      <c r="J241" s="72">
        <v>106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  <c r="Q241" s="95"/>
      <c r="R241" s="18"/>
      <c r="W241" s="16">
        <f t="shared" si="92"/>
        <v>0</v>
      </c>
    </row>
    <row r="242" spans="1:27" ht="15.6" x14ac:dyDescent="0.3">
      <c r="A242" s="80"/>
      <c r="B242" s="97"/>
      <c r="C242" s="80"/>
      <c r="D242" s="80"/>
      <c r="E242" s="80"/>
      <c r="F242" s="63" t="s">
        <v>26</v>
      </c>
      <c r="G242" s="72">
        <f t="shared" si="104"/>
        <v>3379.9</v>
      </c>
      <c r="H242" s="72">
        <f t="shared" si="104"/>
        <v>344.9</v>
      </c>
      <c r="I242" s="72">
        <f>106+1135+2000</f>
        <v>3241</v>
      </c>
      <c r="J242" s="72">
        <v>206</v>
      </c>
      <c r="K242" s="72">
        <v>0</v>
      </c>
      <c r="L242" s="72">
        <v>0</v>
      </c>
      <c r="M242" s="72">
        <v>0</v>
      </c>
      <c r="N242" s="72">
        <v>0</v>
      </c>
      <c r="O242" s="72">
        <v>138.9</v>
      </c>
      <c r="P242" s="72">
        <v>138.9</v>
      </c>
      <c r="Q242" s="95"/>
      <c r="R242" s="33"/>
      <c r="W242" s="16">
        <f t="shared" si="92"/>
        <v>3035</v>
      </c>
    </row>
    <row r="243" spans="1:27" ht="15.6" x14ac:dyDescent="0.3">
      <c r="A243" s="80"/>
      <c r="B243" s="97"/>
      <c r="C243" s="80"/>
      <c r="D243" s="80"/>
      <c r="E243" s="80"/>
      <c r="F243" s="63" t="s">
        <v>27</v>
      </c>
      <c r="G243" s="72">
        <f t="shared" si="104"/>
        <v>3914.8</v>
      </c>
      <c r="H243" s="72">
        <f t="shared" si="104"/>
        <v>1026.9000000000001</v>
      </c>
      <c r="I243" s="72">
        <f t="shared" ref="I243:I247" si="106">I242</f>
        <v>3241</v>
      </c>
      <c r="J243" s="72">
        <v>353.1</v>
      </c>
      <c r="K243" s="72">
        <v>0</v>
      </c>
      <c r="L243" s="72">
        <v>0</v>
      </c>
      <c r="M243" s="72">
        <v>0</v>
      </c>
      <c r="N243" s="72">
        <v>0</v>
      </c>
      <c r="O243" s="72">
        <v>673.8</v>
      </c>
      <c r="P243" s="72">
        <f>O243</f>
        <v>673.8</v>
      </c>
      <c r="Q243" s="95"/>
      <c r="R243" s="18"/>
      <c r="W243" s="16">
        <f t="shared" si="92"/>
        <v>2887.9</v>
      </c>
    </row>
    <row r="244" spans="1:27" ht="15.6" x14ac:dyDescent="0.3">
      <c r="A244" s="80"/>
      <c r="B244" s="97"/>
      <c r="C244" s="80"/>
      <c r="D244" s="80"/>
      <c r="E244" s="80"/>
      <c r="F244" s="63" t="s">
        <v>28</v>
      </c>
      <c r="G244" s="72">
        <f t="shared" si="104"/>
        <v>3523.4</v>
      </c>
      <c r="H244" s="72">
        <f t="shared" si="104"/>
        <v>635.5</v>
      </c>
      <c r="I244" s="72">
        <f t="shared" si="106"/>
        <v>3241</v>
      </c>
      <c r="J244" s="72">
        <v>353.1</v>
      </c>
      <c r="K244" s="72">
        <v>0</v>
      </c>
      <c r="L244" s="72">
        <v>0</v>
      </c>
      <c r="M244" s="72">
        <v>0</v>
      </c>
      <c r="N244" s="72">
        <v>0</v>
      </c>
      <c r="O244" s="72">
        <f>P244</f>
        <v>282.39999999999998</v>
      </c>
      <c r="P244" s="72">
        <v>282.39999999999998</v>
      </c>
      <c r="Q244" s="95"/>
      <c r="R244" s="18"/>
      <c r="W244" s="16">
        <f t="shared" si="92"/>
        <v>2887.9</v>
      </c>
    </row>
    <row r="245" spans="1:27" ht="15.6" x14ac:dyDescent="0.3">
      <c r="A245" s="80"/>
      <c r="B245" s="97"/>
      <c r="C245" s="80"/>
      <c r="D245" s="80"/>
      <c r="E245" s="80"/>
      <c r="F245" s="63" t="s">
        <v>29</v>
      </c>
      <c r="G245" s="72">
        <f t="shared" si="104"/>
        <v>3241</v>
      </c>
      <c r="H245" s="72">
        <f t="shared" si="104"/>
        <v>353.1</v>
      </c>
      <c r="I245" s="72">
        <f t="shared" si="106"/>
        <v>3241</v>
      </c>
      <c r="J245" s="72">
        <v>353.1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  <c r="Q245" s="95"/>
      <c r="R245" s="33">
        <f>I245-J245</f>
        <v>2887.9</v>
      </c>
      <c r="W245" s="16">
        <f t="shared" si="92"/>
        <v>2887.9</v>
      </c>
      <c r="X245" s="32">
        <f>I245-J245</f>
        <v>2887.9</v>
      </c>
    </row>
    <row r="246" spans="1:27" ht="31.5" customHeight="1" x14ac:dyDescent="0.3">
      <c r="A246" s="80"/>
      <c r="B246" s="97"/>
      <c r="C246" s="80"/>
      <c r="D246" s="80"/>
      <c r="E246" s="80"/>
      <c r="F246" s="63" t="s">
        <v>30</v>
      </c>
      <c r="G246" s="72">
        <f t="shared" si="104"/>
        <v>3241</v>
      </c>
      <c r="H246" s="72">
        <f t="shared" si="104"/>
        <v>353.1</v>
      </c>
      <c r="I246" s="72">
        <f t="shared" si="106"/>
        <v>3241</v>
      </c>
      <c r="J246" s="72">
        <v>353.1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  <c r="Q246" s="95"/>
      <c r="R246" s="18"/>
      <c r="W246" s="16">
        <f t="shared" si="92"/>
        <v>2887.9</v>
      </c>
    </row>
    <row r="247" spans="1:27" ht="15.6" x14ac:dyDescent="0.3">
      <c r="A247" s="81"/>
      <c r="B247" s="97"/>
      <c r="C247" s="81"/>
      <c r="D247" s="81"/>
      <c r="E247" s="81"/>
      <c r="F247" s="63" t="s">
        <v>31</v>
      </c>
      <c r="G247" s="72">
        <f t="shared" si="104"/>
        <v>3241</v>
      </c>
      <c r="H247" s="72">
        <f t="shared" si="104"/>
        <v>353.1</v>
      </c>
      <c r="I247" s="72">
        <f t="shared" si="106"/>
        <v>3241</v>
      </c>
      <c r="J247" s="72">
        <v>353.1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  <c r="Q247" s="96"/>
      <c r="R247" s="18"/>
      <c r="W247" s="16">
        <f t="shared" si="92"/>
        <v>2887.9</v>
      </c>
    </row>
    <row r="248" spans="1:27" ht="15.6" customHeight="1" x14ac:dyDescent="0.3">
      <c r="A248" s="74"/>
      <c r="B248" s="65" t="s">
        <v>92</v>
      </c>
      <c r="C248" s="64"/>
      <c r="D248" s="74"/>
      <c r="E248" s="74"/>
      <c r="F248" s="64" t="s">
        <v>18</v>
      </c>
      <c r="G248" s="11">
        <f>SUM(G249:G259)</f>
        <v>2156967.4329999965</v>
      </c>
      <c r="H248" s="11">
        <f t="shared" ref="H248:P248" si="107">SUM(H249:H259)</f>
        <v>1816279.5629999996</v>
      </c>
      <c r="I248" s="11">
        <f>SUM(I249:I259)</f>
        <v>1383478.1799999969</v>
      </c>
      <c r="J248" s="11">
        <f t="shared" si="107"/>
        <v>1196930.9899999998</v>
      </c>
      <c r="K248" s="11">
        <f t="shared" si="107"/>
        <v>1407.9</v>
      </c>
      <c r="L248" s="11">
        <f t="shared" si="107"/>
        <v>987.9</v>
      </c>
      <c r="M248" s="11">
        <f t="shared" si="107"/>
        <v>501060.65299999982</v>
      </c>
      <c r="N248" s="11">
        <f>SUM(N249:N259)</f>
        <v>347339.97299999988</v>
      </c>
      <c r="O248" s="11">
        <f t="shared" si="107"/>
        <v>271020.69999999978</v>
      </c>
      <c r="P248" s="11">
        <f t="shared" si="107"/>
        <v>271020.69999999978</v>
      </c>
      <c r="Q248" s="83" t="s">
        <v>33</v>
      </c>
      <c r="R248" s="18"/>
      <c r="W248" s="16">
        <f t="shared" si="92"/>
        <v>186547.18999999715</v>
      </c>
    </row>
    <row r="249" spans="1:27" s="13" customFormat="1" ht="35.25" customHeight="1" x14ac:dyDescent="0.3">
      <c r="A249" s="75"/>
      <c r="B249" s="85" t="s">
        <v>93</v>
      </c>
      <c r="C249" s="64" t="s">
        <v>40</v>
      </c>
      <c r="D249" s="75"/>
      <c r="E249" s="75"/>
      <c r="F249" s="64" t="s">
        <v>20</v>
      </c>
      <c r="G249" s="11">
        <f t="shared" ref="G249:H259" si="108">I249+K249+M249+O249</f>
        <v>129321.4</v>
      </c>
      <c r="H249" s="11">
        <f t="shared" si="108"/>
        <v>115482.7</v>
      </c>
      <c r="I249" s="11">
        <f t="shared" ref="I249:N249" si="109">I261+I273+I285+I292+I299+I306+I313++I320+I327+I334+I341</f>
        <v>90603.7</v>
      </c>
      <c r="J249" s="11">
        <f t="shared" si="109"/>
        <v>77665</v>
      </c>
      <c r="K249" s="11">
        <f t="shared" si="109"/>
        <v>200</v>
      </c>
      <c r="L249" s="11">
        <f t="shared" si="109"/>
        <v>0</v>
      </c>
      <c r="M249" s="11">
        <f t="shared" si="109"/>
        <v>18264.5</v>
      </c>
      <c r="N249" s="11">
        <f t="shared" si="109"/>
        <v>17564.5</v>
      </c>
      <c r="O249" s="11">
        <f t="shared" ref="O249:O251" si="110">O261+O273+O285+O292+O299+O306+O313+O320+O327+O334+O341</f>
        <v>20253.199999999997</v>
      </c>
      <c r="P249" s="11">
        <f t="shared" ref="P249:P251" si="111">P261+P273+P285+P292+P299+P306+P313++P320+P327+P334+P341</f>
        <v>20253.199999999997</v>
      </c>
      <c r="Q249" s="83"/>
      <c r="R249" s="18"/>
      <c r="W249" s="16">
        <f t="shared" si="92"/>
        <v>12938.699999999997</v>
      </c>
    </row>
    <row r="250" spans="1:27" s="13" customFormat="1" ht="15.75" customHeight="1" x14ac:dyDescent="0.3">
      <c r="A250" s="75"/>
      <c r="B250" s="85"/>
      <c r="C250" s="74" t="s">
        <v>94</v>
      </c>
      <c r="D250" s="75"/>
      <c r="E250" s="75"/>
      <c r="F250" s="64" t="s">
        <v>22</v>
      </c>
      <c r="G250" s="11">
        <f t="shared" si="108"/>
        <v>128655.36999999979</v>
      </c>
      <c r="H250" s="11">
        <f t="shared" si="108"/>
        <v>122789.83999999981</v>
      </c>
      <c r="I250" s="11">
        <f>I262+I274+I342</f>
        <v>85805.569999999876</v>
      </c>
      <c r="J250" s="11">
        <f>J262+J274+J342</f>
        <v>80980.039999999892</v>
      </c>
      <c r="K250" s="11">
        <f t="shared" ref="K250:N251" si="112">K262+K274+K286+K293+K300+K307+K314++K321+K328+K335+K342</f>
        <v>220</v>
      </c>
      <c r="L250" s="11">
        <f t="shared" si="112"/>
        <v>0</v>
      </c>
      <c r="M250" s="11">
        <f t="shared" si="112"/>
        <v>17618.000000000011</v>
      </c>
      <c r="N250" s="11">
        <f t="shared" si="112"/>
        <v>16798.000000000011</v>
      </c>
      <c r="O250" s="11">
        <f t="shared" si="110"/>
        <v>25011.799999999901</v>
      </c>
      <c r="P250" s="11">
        <f t="shared" si="111"/>
        <v>25011.799999999901</v>
      </c>
      <c r="Q250" s="83"/>
      <c r="R250" s="18"/>
      <c r="W250" s="16">
        <f t="shared" si="92"/>
        <v>4825.5299999999843</v>
      </c>
    </row>
    <row r="251" spans="1:27" s="13" customFormat="1" ht="15.6" customHeight="1" x14ac:dyDescent="0.3">
      <c r="A251" s="75"/>
      <c r="B251" s="85"/>
      <c r="C251" s="75"/>
      <c r="D251" s="75"/>
      <c r="E251" s="75"/>
      <c r="F251" s="64" t="s">
        <v>23</v>
      </c>
      <c r="G251" s="11">
        <f t="shared" si="108"/>
        <v>151718.6329999998</v>
      </c>
      <c r="H251" s="11">
        <f t="shared" si="108"/>
        <v>150033.6329999998</v>
      </c>
      <c r="I251" s="11">
        <f>I263+I275+I287+I294+I301+I308+I315++I322+I329+I336+I343</f>
        <v>90037.799999999901</v>
      </c>
      <c r="J251" s="11">
        <f>J263+J275+J287+J294+J301+J308+J315++J322+J329+J336+J343</f>
        <v>88352.799999999901</v>
      </c>
      <c r="K251" s="11">
        <f t="shared" si="112"/>
        <v>0</v>
      </c>
      <c r="L251" s="11">
        <f t="shared" si="112"/>
        <v>0</v>
      </c>
      <c r="M251" s="11">
        <f t="shared" si="112"/>
        <v>31832.3329999999</v>
      </c>
      <c r="N251" s="11">
        <f t="shared" si="112"/>
        <v>31832.3329999999</v>
      </c>
      <c r="O251" s="11">
        <f t="shared" si="110"/>
        <v>29848.5</v>
      </c>
      <c r="P251" s="11">
        <f t="shared" si="111"/>
        <v>29848.5</v>
      </c>
      <c r="Q251" s="83"/>
      <c r="R251" s="18"/>
      <c r="S251" s="98" t="s">
        <v>93</v>
      </c>
      <c r="T251" s="99"/>
      <c r="W251" s="16">
        <f t="shared" si="92"/>
        <v>1685</v>
      </c>
      <c r="Z251" s="20"/>
    </row>
    <row r="252" spans="1:27" s="13" customFormat="1" ht="15.6" x14ac:dyDescent="0.3">
      <c r="A252" s="75"/>
      <c r="B252" s="85"/>
      <c r="C252" s="75"/>
      <c r="D252" s="75"/>
      <c r="E252" s="75"/>
      <c r="F252" s="64" t="s">
        <v>24</v>
      </c>
      <c r="G252" s="11">
        <f t="shared" si="108"/>
        <v>174847.59999999992</v>
      </c>
      <c r="H252" s="11">
        <f t="shared" si="108"/>
        <v>168847.7</v>
      </c>
      <c r="I252" s="11">
        <f t="shared" ref="I252:P254" si="113">I264+I276+I288+I295+I302+I309+I316++I323+I330+I337+I344+I356+I368+I380+I392</f>
        <v>100329.59999999992</v>
      </c>
      <c r="J252" s="11">
        <f t="shared" ref="J252:P253" si="114">J264+J276+J288+J295+J302+J309+J316++J323+J330+J337+J344+J356+J368+J380+J392</f>
        <v>94329.700000000012</v>
      </c>
      <c r="K252" s="11">
        <f t="shared" si="114"/>
        <v>518.5</v>
      </c>
      <c r="L252" s="11">
        <f t="shared" si="114"/>
        <v>518.5</v>
      </c>
      <c r="M252" s="11">
        <f t="shared" si="114"/>
        <v>46076.6</v>
      </c>
      <c r="N252" s="11">
        <f t="shared" si="114"/>
        <v>46076.6</v>
      </c>
      <c r="O252" s="11">
        <f t="shared" si="114"/>
        <v>27922.9</v>
      </c>
      <c r="P252" s="11">
        <f t="shared" si="114"/>
        <v>27922.9</v>
      </c>
      <c r="Q252" s="83"/>
      <c r="R252" s="18"/>
      <c r="S252" s="100"/>
      <c r="T252" s="101"/>
      <c r="W252" s="16">
        <f t="shared" si="92"/>
        <v>5999.8999999999069</v>
      </c>
    </row>
    <row r="253" spans="1:27" s="13" customFormat="1" ht="15" customHeight="1" x14ac:dyDescent="0.3">
      <c r="A253" s="75"/>
      <c r="B253" s="85"/>
      <c r="C253" s="75"/>
      <c r="D253" s="75"/>
      <c r="E253" s="75"/>
      <c r="F253" s="64" t="s">
        <v>25</v>
      </c>
      <c r="G253" s="11">
        <f t="shared" si="108"/>
        <v>180235.5</v>
      </c>
      <c r="H253" s="11">
        <f t="shared" si="108"/>
        <v>180235.5</v>
      </c>
      <c r="I253" s="11">
        <f t="shared" si="113"/>
        <v>102003.2</v>
      </c>
      <c r="J253" s="11">
        <f t="shared" si="114"/>
        <v>102003.2</v>
      </c>
      <c r="K253" s="11">
        <f t="shared" si="113"/>
        <v>0</v>
      </c>
      <c r="L253" s="11">
        <f t="shared" si="113"/>
        <v>0</v>
      </c>
      <c r="M253" s="11">
        <f t="shared" si="113"/>
        <v>47222.7</v>
      </c>
      <c r="N253" s="11">
        <f t="shared" si="113"/>
        <v>47222.7</v>
      </c>
      <c r="O253" s="11">
        <f t="shared" si="113"/>
        <v>31009.600000000002</v>
      </c>
      <c r="P253" s="11">
        <f t="shared" si="113"/>
        <v>31009.600000000002</v>
      </c>
      <c r="Q253" s="83"/>
      <c r="R253" s="33"/>
      <c r="S253" s="102"/>
      <c r="T253" s="103"/>
      <c r="W253" s="16">
        <f t="shared" si="92"/>
        <v>0</v>
      </c>
    </row>
    <row r="254" spans="1:27" s="13" customFormat="1" ht="15.6" x14ac:dyDescent="0.3">
      <c r="A254" s="75"/>
      <c r="B254" s="85"/>
      <c r="C254" s="75"/>
      <c r="D254" s="75"/>
      <c r="E254" s="75"/>
      <c r="F254" s="64" t="s">
        <v>26</v>
      </c>
      <c r="G254" s="11">
        <f t="shared" si="108"/>
        <v>187644.75</v>
      </c>
      <c r="H254" s="11">
        <f t="shared" si="108"/>
        <v>155841.29</v>
      </c>
      <c r="I254" s="11">
        <f t="shared" si="113"/>
        <v>121123.75</v>
      </c>
      <c r="J254" s="11">
        <f t="shared" si="113"/>
        <v>101315.19</v>
      </c>
      <c r="K254" s="11">
        <f t="shared" si="113"/>
        <v>0</v>
      </c>
      <c r="L254" s="11">
        <f t="shared" si="113"/>
        <v>0</v>
      </c>
      <c r="M254" s="11">
        <f t="shared" si="113"/>
        <v>46669.5</v>
      </c>
      <c r="N254" s="11">
        <f t="shared" si="113"/>
        <v>34674.6</v>
      </c>
      <c r="O254" s="11">
        <f t="shared" si="113"/>
        <v>19851.5</v>
      </c>
      <c r="P254" s="11">
        <f t="shared" si="113"/>
        <v>19851.5</v>
      </c>
      <c r="Q254" s="83"/>
      <c r="R254" s="33"/>
      <c r="S254" s="42">
        <f t="shared" ref="S254:S259" si="115">H254/G254*100</f>
        <v>83.051239110073695</v>
      </c>
      <c r="T254" s="64" t="s">
        <v>26</v>
      </c>
      <c r="W254" s="16">
        <f t="shared" ref="W254:W317" si="116">I254-J254</f>
        <v>19808.559999999998</v>
      </c>
      <c r="Y254" s="16"/>
      <c r="Z254" s="36"/>
      <c r="AA254" s="36"/>
    </row>
    <row r="255" spans="1:27" s="13" customFormat="1" ht="15.6" x14ac:dyDescent="0.3">
      <c r="A255" s="75"/>
      <c r="B255" s="85"/>
      <c r="C255" s="75"/>
      <c r="D255" s="75"/>
      <c r="E255" s="75"/>
      <c r="F255" s="64" t="s">
        <v>27</v>
      </c>
      <c r="G255" s="11">
        <f t="shared" si="108"/>
        <v>210285</v>
      </c>
      <c r="H255" s="11">
        <f t="shared" si="108"/>
        <v>187323.7</v>
      </c>
      <c r="I255" s="11">
        <f t="shared" ref="I255:P259" si="117">I267+I279+I347+I359+I371+I383+I395</f>
        <v>137486.5</v>
      </c>
      <c r="J255" s="11">
        <f t="shared" ref="J255:P255" si="118">J267+J279+J347+J359+J371+J383+J395</f>
        <v>122597.40000000001</v>
      </c>
      <c r="K255" s="11">
        <f t="shared" si="118"/>
        <v>0</v>
      </c>
      <c r="L255" s="11">
        <f t="shared" si="118"/>
        <v>0</v>
      </c>
      <c r="M255" s="11">
        <f t="shared" si="118"/>
        <v>46669.5</v>
      </c>
      <c r="N255" s="11">
        <f t="shared" si="118"/>
        <v>38597.300000000003</v>
      </c>
      <c r="O255" s="11">
        <f t="shared" si="118"/>
        <v>26129</v>
      </c>
      <c r="P255" s="11">
        <f t="shared" si="118"/>
        <v>26129</v>
      </c>
      <c r="Q255" s="83"/>
      <c r="R255" s="33"/>
      <c r="S255" s="42">
        <f t="shared" si="115"/>
        <v>89.080866443160474</v>
      </c>
      <c r="T255" s="64" t="s">
        <v>27</v>
      </c>
      <c r="W255" s="16">
        <f t="shared" si="116"/>
        <v>14889.099999999991</v>
      </c>
      <c r="Z255" s="36"/>
      <c r="AA255" s="36"/>
    </row>
    <row r="256" spans="1:27" s="13" customFormat="1" ht="15.6" x14ac:dyDescent="0.3">
      <c r="A256" s="75"/>
      <c r="B256" s="85"/>
      <c r="C256" s="75"/>
      <c r="D256" s="75"/>
      <c r="E256" s="75"/>
      <c r="F256" s="64" t="s">
        <v>28</v>
      </c>
      <c r="G256" s="11">
        <f t="shared" si="108"/>
        <v>215190.19999999992</v>
      </c>
      <c r="H256" s="11">
        <f t="shared" si="108"/>
        <v>206711.49999999991</v>
      </c>
      <c r="I256" s="11">
        <f t="shared" si="117"/>
        <v>147043.10000000003</v>
      </c>
      <c r="J256" s="11">
        <f t="shared" si="117"/>
        <v>141539.30000000002</v>
      </c>
      <c r="K256" s="11">
        <f t="shared" si="117"/>
        <v>0</v>
      </c>
      <c r="L256" s="11">
        <f t="shared" si="117"/>
        <v>0</v>
      </c>
      <c r="M256" s="11">
        <f t="shared" si="117"/>
        <v>46669.5</v>
      </c>
      <c r="N256" s="11">
        <f t="shared" si="117"/>
        <v>43694.6</v>
      </c>
      <c r="O256" s="11">
        <f t="shared" si="117"/>
        <v>21477.5999999999</v>
      </c>
      <c r="P256" s="11">
        <f t="shared" si="117"/>
        <v>21477.5999999999</v>
      </c>
      <c r="Q256" s="83"/>
      <c r="R256" s="33"/>
      <c r="S256" s="42">
        <f t="shared" si="115"/>
        <v>96.059904214968896</v>
      </c>
      <c r="T256" s="64" t="s">
        <v>28</v>
      </c>
      <c r="W256" s="16">
        <f t="shared" si="116"/>
        <v>5503.8000000000175</v>
      </c>
      <c r="Z256" s="36"/>
      <c r="AA256" s="36"/>
    </row>
    <row r="257" spans="1:27" s="13" customFormat="1" ht="15.6" x14ac:dyDescent="0.3">
      <c r="A257" s="75"/>
      <c r="B257" s="85"/>
      <c r="C257" s="75"/>
      <c r="D257" s="75"/>
      <c r="E257" s="75"/>
      <c r="F257" s="64" t="s">
        <v>29</v>
      </c>
      <c r="G257" s="11">
        <f t="shared" si="108"/>
        <v>267003.69999999896</v>
      </c>
      <c r="H257" s="11">
        <f t="shared" si="108"/>
        <v>234532.3</v>
      </c>
      <c r="I257" s="11">
        <f>I269+I281+I349+I361+I373+I385+I397+I444</f>
        <v>173075.95999999897</v>
      </c>
      <c r="J257" s="11">
        <f>J269+J281+J349+J361+J373+J385+J397-0.1+J444</f>
        <v>140604.56</v>
      </c>
      <c r="K257" s="11">
        <f t="shared" si="117"/>
        <v>469.4</v>
      </c>
      <c r="L257" s="11">
        <f t="shared" si="117"/>
        <v>469.4</v>
      </c>
      <c r="M257" s="11">
        <f t="shared" si="117"/>
        <v>66679.34</v>
      </c>
      <c r="N257" s="11">
        <f t="shared" si="117"/>
        <v>66679.34</v>
      </c>
      <c r="O257" s="11">
        <f t="shared" si="117"/>
        <v>26779</v>
      </c>
      <c r="P257" s="11">
        <f t="shared" si="117"/>
        <v>26779</v>
      </c>
      <c r="Q257" s="83"/>
      <c r="R257" s="18"/>
      <c r="S257" s="42">
        <f>H257/G257*100</f>
        <v>87.838595495118938</v>
      </c>
      <c r="T257" s="64" t="s">
        <v>29</v>
      </c>
      <c r="W257" s="16">
        <f t="shared" si="116"/>
        <v>32471.399999998976</v>
      </c>
      <c r="Z257" s="36"/>
      <c r="AA257" s="36"/>
    </row>
    <row r="258" spans="1:27" s="13" customFormat="1" ht="15.6" x14ac:dyDescent="0.3">
      <c r="A258" s="75"/>
      <c r="B258" s="85"/>
      <c r="C258" s="75"/>
      <c r="D258" s="75"/>
      <c r="E258" s="75"/>
      <c r="F258" s="64" t="s">
        <v>30</v>
      </c>
      <c r="G258" s="11">
        <f t="shared" si="108"/>
        <v>256032.639999999</v>
      </c>
      <c r="H258" s="11">
        <f t="shared" si="108"/>
        <v>147240.70000000001</v>
      </c>
      <c r="I258" s="11">
        <f t="shared" si="117"/>
        <v>167984.49999999901</v>
      </c>
      <c r="J258" s="11">
        <f t="shared" si="117"/>
        <v>123771.90000000001</v>
      </c>
      <c r="K258" s="11">
        <f t="shared" si="117"/>
        <v>0</v>
      </c>
      <c r="L258" s="11">
        <f t="shared" si="117"/>
        <v>0</v>
      </c>
      <c r="M258" s="11">
        <f t="shared" si="117"/>
        <v>66679.34</v>
      </c>
      <c r="N258" s="11">
        <f t="shared" si="117"/>
        <v>2100</v>
      </c>
      <c r="O258" s="11">
        <f t="shared" si="117"/>
        <v>21368.799999999999</v>
      </c>
      <c r="P258" s="11">
        <f t="shared" si="117"/>
        <v>21368.799999999999</v>
      </c>
      <c r="Q258" s="83"/>
      <c r="R258" s="18"/>
      <c r="S258" s="42">
        <f t="shared" si="115"/>
        <v>57.508566095323076</v>
      </c>
      <c r="T258" s="64" t="s">
        <v>30</v>
      </c>
      <c r="W258" s="16">
        <f t="shared" si="116"/>
        <v>44212.599999999002</v>
      </c>
      <c r="Z258" s="36"/>
      <c r="AA258" s="36"/>
    </row>
    <row r="259" spans="1:27" s="13" customFormat="1" ht="15.6" x14ac:dyDescent="0.3">
      <c r="A259" s="75"/>
      <c r="B259" s="85"/>
      <c r="C259" s="76"/>
      <c r="D259" s="76"/>
      <c r="E259" s="76"/>
      <c r="F259" s="64" t="s">
        <v>31</v>
      </c>
      <c r="G259" s="11">
        <f t="shared" si="108"/>
        <v>256032.639999999</v>
      </c>
      <c r="H259" s="11">
        <f t="shared" si="108"/>
        <v>147240.70000000001</v>
      </c>
      <c r="I259" s="11">
        <f t="shared" si="117"/>
        <v>167984.49999999901</v>
      </c>
      <c r="J259" s="11">
        <f t="shared" si="117"/>
        <v>123771.90000000001</v>
      </c>
      <c r="K259" s="11">
        <f t="shared" si="117"/>
        <v>0</v>
      </c>
      <c r="L259" s="11">
        <f t="shared" si="117"/>
        <v>0</v>
      </c>
      <c r="M259" s="11">
        <f t="shared" si="117"/>
        <v>66679.34</v>
      </c>
      <c r="N259" s="11">
        <f t="shared" si="117"/>
        <v>2100</v>
      </c>
      <c r="O259" s="11">
        <f t="shared" si="117"/>
        <v>21368.799999999999</v>
      </c>
      <c r="P259" s="11">
        <f t="shared" si="117"/>
        <v>21368.799999999999</v>
      </c>
      <c r="Q259" s="83"/>
      <c r="R259" s="18"/>
      <c r="S259" s="42">
        <f t="shared" si="115"/>
        <v>57.508566095323076</v>
      </c>
      <c r="T259" s="64" t="s">
        <v>31</v>
      </c>
      <c r="W259" s="16">
        <f t="shared" si="116"/>
        <v>44212.599999999002</v>
      </c>
      <c r="Z259" s="36"/>
      <c r="AA259" s="36"/>
    </row>
    <row r="260" spans="1:27" s="13" customFormat="1" ht="15.75" customHeight="1" x14ac:dyDescent="0.3">
      <c r="A260" s="75"/>
      <c r="B260" s="86" t="s">
        <v>95</v>
      </c>
      <c r="C260" s="35"/>
      <c r="D260" s="79" t="s">
        <v>44</v>
      </c>
      <c r="E260" s="79" t="s">
        <v>89</v>
      </c>
      <c r="F260" s="63" t="s">
        <v>18</v>
      </c>
      <c r="G260" s="72">
        <f>SUM(G261:G271)</f>
        <v>2033747.2229999963</v>
      </c>
      <c r="H260" s="72">
        <f t="shared" ref="H260:P260" si="119">SUM(H261:H271)</f>
        <v>1717816.1529999995</v>
      </c>
      <c r="I260" s="72">
        <f t="shared" si="119"/>
        <v>1261563.7699999963</v>
      </c>
      <c r="J260" s="72">
        <f t="shared" si="119"/>
        <v>1098873.3799999997</v>
      </c>
      <c r="K260" s="72">
        <f t="shared" si="119"/>
        <v>1207.9000000000001</v>
      </c>
      <c r="L260" s="72">
        <f t="shared" si="119"/>
        <v>987.9</v>
      </c>
      <c r="M260" s="72">
        <f t="shared" si="119"/>
        <v>500360.65299999982</v>
      </c>
      <c r="N260" s="72">
        <f>SUM(N261:N271)</f>
        <v>347339.97299999988</v>
      </c>
      <c r="O260" s="72">
        <f t="shared" si="119"/>
        <v>270614.89999999979</v>
      </c>
      <c r="P260" s="72">
        <f t="shared" si="119"/>
        <v>270614.89999999979</v>
      </c>
      <c r="Q260" s="83"/>
      <c r="R260" s="18"/>
      <c r="W260" s="16">
        <f t="shared" si="116"/>
        <v>162690.38999999664</v>
      </c>
      <c r="AA260" s="36"/>
    </row>
    <row r="261" spans="1:27" s="6" customFormat="1" ht="54.75" customHeight="1" x14ac:dyDescent="0.3">
      <c r="A261" s="75"/>
      <c r="B261" s="86"/>
      <c r="C261" s="63" t="s">
        <v>61</v>
      </c>
      <c r="D261" s="80"/>
      <c r="E261" s="80"/>
      <c r="F261" s="63" t="s">
        <v>20</v>
      </c>
      <c r="G261" s="72">
        <f t="shared" ref="G261:H271" si="120">I261+K261+M261+O261</f>
        <v>114532.09999999998</v>
      </c>
      <c r="H261" s="72">
        <f t="shared" si="120"/>
        <v>111157.5</v>
      </c>
      <c r="I261" s="72">
        <f>8503.5+J261-559.799999999999-4514.1-10-45</f>
        <v>77092.999999999985</v>
      </c>
      <c r="J261" s="72">
        <v>73718.399999999994</v>
      </c>
      <c r="K261" s="72">
        <v>0</v>
      </c>
      <c r="L261" s="72">
        <v>0</v>
      </c>
      <c r="M261" s="72">
        <f>N261</f>
        <v>17564.5</v>
      </c>
      <c r="N261" s="72">
        <v>17564.5</v>
      </c>
      <c r="O261" s="72">
        <v>19874.599999999999</v>
      </c>
      <c r="P261" s="72">
        <f t="shared" ref="P261:P266" si="121">O261</f>
        <v>19874.599999999999</v>
      </c>
      <c r="Q261" s="83"/>
      <c r="R261" s="37"/>
      <c r="W261" s="16">
        <f t="shared" si="116"/>
        <v>3374.5999999999913</v>
      </c>
    </row>
    <row r="262" spans="1:27" ht="55.5" customHeight="1" x14ac:dyDescent="0.3">
      <c r="A262" s="75"/>
      <c r="B262" s="86"/>
      <c r="C262" s="63" t="s">
        <v>62</v>
      </c>
      <c r="D262" s="80"/>
      <c r="E262" s="80"/>
      <c r="F262" s="63" t="s">
        <v>22</v>
      </c>
      <c r="G262" s="72">
        <f t="shared" si="120"/>
        <v>126132.86999999979</v>
      </c>
      <c r="H262" s="72">
        <f t="shared" si="120"/>
        <v>121423.6399999998</v>
      </c>
      <c r="I262" s="72">
        <f>J262+260.23+775+150+608+276+300+1300</f>
        <v>83283.069999999876</v>
      </c>
      <c r="J262" s="72">
        <f>79427.6999999999-J314-J321-J328-J335-1165.7-J342+649.399999999999-0.299999999999999+991.5+700+70-744.659999999999</f>
        <v>79613.83999999988</v>
      </c>
      <c r="K262" s="72">
        <v>220</v>
      </c>
      <c r="L262" s="72">
        <v>0</v>
      </c>
      <c r="M262" s="72">
        <f>N262+360+460</f>
        <v>17618.000000000011</v>
      </c>
      <c r="N262" s="72">
        <f>24612.9+72-7886.89999999999</f>
        <v>16798.000000000011</v>
      </c>
      <c r="O262" s="72">
        <f>25011.7999999999-O286-O293-O314-O321-O328-O335</f>
        <v>25011.799999999901</v>
      </c>
      <c r="P262" s="72">
        <f t="shared" si="121"/>
        <v>25011.799999999901</v>
      </c>
      <c r="Q262" s="83"/>
      <c r="R262" s="18"/>
      <c r="W262" s="16">
        <f t="shared" si="116"/>
        <v>3669.2299999999959</v>
      </c>
    </row>
    <row r="263" spans="1:27" ht="15" customHeight="1" x14ac:dyDescent="0.3">
      <c r="A263" s="75"/>
      <c r="B263" s="86"/>
      <c r="C263" s="79" t="s">
        <v>131</v>
      </c>
      <c r="D263" s="80"/>
      <c r="E263" s="80"/>
      <c r="F263" s="63" t="s">
        <v>23</v>
      </c>
      <c r="G263" s="72">
        <f t="shared" si="120"/>
        <v>150271.6329999998</v>
      </c>
      <c r="H263" s="72">
        <f t="shared" si="120"/>
        <v>148586.6329999998</v>
      </c>
      <c r="I263" s="72">
        <f>J263+1685</f>
        <v>88590.799999999901</v>
      </c>
      <c r="J263" s="72">
        <f>86449.6999999999-J275-J343+1499.5+20+80+303.6</f>
        <v>86905.799999999901</v>
      </c>
      <c r="K263" s="72">
        <v>0</v>
      </c>
      <c r="L263" s="72">
        <v>0</v>
      </c>
      <c r="M263" s="72">
        <f>N263</f>
        <v>31832.3329999999</v>
      </c>
      <c r="N263" s="72">
        <f>32007.8329999999-175.5</f>
        <v>31832.3329999999</v>
      </c>
      <c r="O263" s="72">
        <f>29848.5-O287-O294-O315-O322-O329-O336</f>
        <v>29848.5</v>
      </c>
      <c r="P263" s="72">
        <f t="shared" si="121"/>
        <v>29848.5</v>
      </c>
      <c r="Q263" s="83"/>
      <c r="R263" s="18"/>
      <c r="W263" s="16">
        <f t="shared" si="116"/>
        <v>1685</v>
      </c>
    </row>
    <row r="264" spans="1:27" ht="15.6" x14ac:dyDescent="0.3">
      <c r="A264" s="75"/>
      <c r="B264" s="86"/>
      <c r="C264" s="80"/>
      <c r="D264" s="80"/>
      <c r="E264" s="80"/>
      <c r="F264" s="63" t="s">
        <v>24</v>
      </c>
      <c r="G264" s="72">
        <f t="shared" si="120"/>
        <v>163108.7999999999</v>
      </c>
      <c r="H264" s="72">
        <f>J264+L264+N264+P264</f>
        <v>157423</v>
      </c>
      <c r="I264" s="72">
        <f>I263</f>
        <v>88590.799999999901</v>
      </c>
      <c r="J264" s="72">
        <v>82905</v>
      </c>
      <c r="K264" s="72">
        <f>L264</f>
        <v>518.5</v>
      </c>
      <c r="L264" s="72">
        <v>518.5</v>
      </c>
      <c r="M264" s="72">
        <v>46076.6</v>
      </c>
      <c r="N264" s="72">
        <f>M264</f>
        <v>46076.6</v>
      </c>
      <c r="O264" s="72">
        <v>27922.9</v>
      </c>
      <c r="P264" s="72">
        <f t="shared" si="121"/>
        <v>27922.9</v>
      </c>
      <c r="Q264" s="83"/>
      <c r="R264" s="18"/>
      <c r="W264" s="16">
        <f t="shared" si="116"/>
        <v>5685.799999999901</v>
      </c>
    </row>
    <row r="265" spans="1:27" ht="21.6" customHeight="1" x14ac:dyDescent="0.3">
      <c r="A265" s="75"/>
      <c r="B265" s="86"/>
      <c r="C265" s="80"/>
      <c r="D265" s="80"/>
      <c r="E265" s="80"/>
      <c r="F265" s="63" t="s">
        <v>25</v>
      </c>
      <c r="G265" s="72">
        <f t="shared" si="120"/>
        <v>167188</v>
      </c>
      <c r="H265" s="72">
        <f t="shared" si="120"/>
        <v>167188</v>
      </c>
      <c r="I265" s="72">
        <f>J265</f>
        <v>88971.099999999991</v>
      </c>
      <c r="J265" s="72">
        <f>87860.6+1001.9+108.7-0.1</f>
        <v>88971.099999999991</v>
      </c>
      <c r="K265" s="72">
        <v>0</v>
      </c>
      <c r="L265" s="72">
        <v>0</v>
      </c>
      <c r="M265" s="72">
        <v>47222.7</v>
      </c>
      <c r="N265" s="72">
        <v>47222.7</v>
      </c>
      <c r="O265" s="72">
        <f>9700.5+17309.4+268.8+3730.9-O345</f>
        <v>30994.2</v>
      </c>
      <c r="P265" s="72">
        <f t="shared" si="121"/>
        <v>30994.2</v>
      </c>
      <c r="Q265" s="83"/>
      <c r="R265" s="18"/>
      <c r="W265" s="16">
        <f t="shared" si="116"/>
        <v>0</v>
      </c>
    </row>
    <row r="266" spans="1:27" ht="15.6" x14ac:dyDescent="0.3">
      <c r="A266" s="75"/>
      <c r="B266" s="86"/>
      <c r="C266" s="80"/>
      <c r="D266" s="80"/>
      <c r="E266" s="80"/>
      <c r="F266" s="63" t="s">
        <v>26</v>
      </c>
      <c r="G266" s="72">
        <f t="shared" si="120"/>
        <v>176717.6</v>
      </c>
      <c r="H266" s="72">
        <f t="shared" si="120"/>
        <v>145277.84</v>
      </c>
      <c r="I266" s="72">
        <f>110196.6</f>
        <v>110196.6</v>
      </c>
      <c r="J266" s="72">
        <v>90751.74</v>
      </c>
      <c r="K266" s="72">
        <v>0</v>
      </c>
      <c r="L266" s="72">
        <v>0</v>
      </c>
      <c r="M266" s="72">
        <v>46669.5</v>
      </c>
      <c r="N266" s="72">
        <v>34674.6</v>
      </c>
      <c r="O266" s="72">
        <v>19851.5</v>
      </c>
      <c r="P266" s="72">
        <f t="shared" si="121"/>
        <v>19851.5</v>
      </c>
      <c r="Q266" s="83"/>
      <c r="R266" s="33"/>
      <c r="W266" s="16">
        <f t="shared" si="116"/>
        <v>19444.86</v>
      </c>
      <c r="Y266" s="32"/>
    </row>
    <row r="267" spans="1:27" ht="15.6" x14ac:dyDescent="0.3">
      <c r="A267" s="75"/>
      <c r="B267" s="86"/>
      <c r="C267" s="80"/>
      <c r="D267" s="80"/>
      <c r="E267" s="80"/>
      <c r="F267" s="63" t="s">
        <v>27</v>
      </c>
      <c r="G267" s="72">
        <f t="shared" si="120"/>
        <v>197983.30000000002</v>
      </c>
      <c r="H267" s="72">
        <f t="shared" si="120"/>
        <v>175497.7</v>
      </c>
      <c r="I267" s="72">
        <f>I266+5000+10000</f>
        <v>125196.6</v>
      </c>
      <c r="J267" s="72">
        <v>110783.2</v>
      </c>
      <c r="K267" s="72">
        <v>0</v>
      </c>
      <c r="L267" s="72">
        <v>0</v>
      </c>
      <c r="M267" s="72">
        <f t="shared" ref="M267:M271" si="122">M266</f>
        <v>46669.5</v>
      </c>
      <c r="N267" s="72">
        <v>38597.300000000003</v>
      </c>
      <c r="O267" s="72">
        <f t="shared" ref="O267:O271" si="123">P267</f>
        <v>26117.200000000001</v>
      </c>
      <c r="P267" s="72">
        <f>26129-P347</f>
        <v>26117.200000000001</v>
      </c>
      <c r="Q267" s="83"/>
      <c r="R267" s="33"/>
      <c r="U267" s="32"/>
      <c r="W267" s="16">
        <f t="shared" si="116"/>
        <v>14413.400000000009</v>
      </c>
    </row>
    <row r="268" spans="1:27" ht="15.6" x14ac:dyDescent="0.3">
      <c r="A268" s="75"/>
      <c r="B268" s="86"/>
      <c r="C268" s="80"/>
      <c r="D268" s="80"/>
      <c r="E268" s="80"/>
      <c r="F268" s="63" t="s">
        <v>28</v>
      </c>
      <c r="G268" s="72">
        <f t="shared" si="120"/>
        <v>202802.1999999999</v>
      </c>
      <c r="H268" s="72">
        <f t="shared" si="120"/>
        <v>195823.49999999988</v>
      </c>
      <c r="I268" s="72">
        <f>31300+103355.1</f>
        <v>134655.1</v>
      </c>
      <c r="J268" s="72">
        <v>130651.3</v>
      </c>
      <c r="K268" s="72">
        <v>0</v>
      </c>
      <c r="L268" s="72">
        <v>0</v>
      </c>
      <c r="M268" s="72">
        <f t="shared" si="122"/>
        <v>46669.5</v>
      </c>
      <c r="N268" s="72">
        <v>43694.6</v>
      </c>
      <c r="O268" s="72">
        <f t="shared" si="123"/>
        <v>21477.5999999999</v>
      </c>
      <c r="P268" s="72">
        <f>21477.5999999999</f>
        <v>21477.5999999999</v>
      </c>
      <c r="Q268" s="83"/>
      <c r="R268" s="18"/>
      <c r="W268" s="16">
        <f t="shared" si="116"/>
        <v>4003.8000000000029</v>
      </c>
      <c r="X268" s="32">
        <f>I268-J268</f>
        <v>4003.8000000000029</v>
      </c>
    </row>
    <row r="269" spans="1:27" ht="21" customHeight="1" x14ac:dyDescent="0.3">
      <c r="A269" s="75"/>
      <c r="B269" s="86"/>
      <c r="C269" s="80"/>
      <c r="D269" s="80"/>
      <c r="E269" s="80"/>
      <c r="F269" s="63" t="s">
        <v>29</v>
      </c>
      <c r="G269" s="72">
        <f t="shared" si="120"/>
        <v>248760.83999999898</v>
      </c>
      <c r="H269" s="72">
        <f t="shared" si="120"/>
        <v>217811.94</v>
      </c>
      <c r="I269" s="72">
        <f>155076.799999999-243.7</f>
        <v>154833.09999999899</v>
      </c>
      <c r="J269" s="72">
        <f>123677.9+150+300-243.7</f>
        <v>123884.2</v>
      </c>
      <c r="K269" s="72">
        <f>L269</f>
        <v>469.4</v>
      </c>
      <c r="L269" s="72">
        <v>469.4</v>
      </c>
      <c r="M269" s="72">
        <f>N269</f>
        <v>66679.34</v>
      </c>
      <c r="N269" s="72">
        <v>66679.34</v>
      </c>
      <c r="O269" s="72">
        <v>26779</v>
      </c>
      <c r="P269" s="72">
        <v>26779</v>
      </c>
      <c r="Q269" s="83"/>
      <c r="R269" s="33">
        <f>I269-J269</f>
        <v>30948.89999999899</v>
      </c>
      <c r="S269" s="32">
        <f>I269-J269</f>
        <v>30948.89999999899</v>
      </c>
      <c r="T269" s="32">
        <f>J269+47273.5999999999</f>
        <v>171157.7999999999</v>
      </c>
      <c r="W269" s="16">
        <f t="shared" si="116"/>
        <v>30948.89999999899</v>
      </c>
    </row>
    <row r="270" spans="1:27" ht="15.6" x14ac:dyDescent="0.3">
      <c r="A270" s="75"/>
      <c r="B270" s="86"/>
      <c r="C270" s="80"/>
      <c r="D270" s="80"/>
      <c r="E270" s="80"/>
      <c r="F270" s="63" t="s">
        <v>30</v>
      </c>
      <c r="G270" s="72">
        <f t="shared" si="120"/>
        <v>243124.93999999898</v>
      </c>
      <c r="H270" s="72">
        <f t="shared" si="120"/>
        <v>138813.20000000001</v>
      </c>
      <c r="I270" s="72">
        <v>155076.799999999</v>
      </c>
      <c r="J270" s="72">
        <f t="shared" ref="J270:J271" si="124">115060.1+284.3</f>
        <v>115344.40000000001</v>
      </c>
      <c r="K270" s="72">
        <v>0</v>
      </c>
      <c r="L270" s="72">
        <v>0</v>
      </c>
      <c r="M270" s="72">
        <f t="shared" si="122"/>
        <v>66679.34</v>
      </c>
      <c r="N270" s="72">
        <v>2100</v>
      </c>
      <c r="O270" s="72">
        <f t="shared" si="123"/>
        <v>21368.799999999999</v>
      </c>
      <c r="P270" s="72">
        <v>21368.799999999999</v>
      </c>
      <c r="Q270" s="83"/>
      <c r="R270" s="18"/>
      <c r="W270" s="16">
        <f t="shared" si="116"/>
        <v>39732.39999999899</v>
      </c>
    </row>
    <row r="271" spans="1:27" ht="15.6" x14ac:dyDescent="0.3">
      <c r="A271" s="75"/>
      <c r="B271" s="87"/>
      <c r="C271" s="81"/>
      <c r="D271" s="81"/>
      <c r="E271" s="81"/>
      <c r="F271" s="63" t="s">
        <v>31</v>
      </c>
      <c r="G271" s="72">
        <f t="shared" si="120"/>
        <v>243124.93999999898</v>
      </c>
      <c r="H271" s="72">
        <f t="shared" si="120"/>
        <v>138813.20000000001</v>
      </c>
      <c r="I271" s="72">
        <v>155076.799999999</v>
      </c>
      <c r="J271" s="72">
        <f t="shared" si="124"/>
        <v>115344.40000000001</v>
      </c>
      <c r="K271" s="72">
        <v>0</v>
      </c>
      <c r="L271" s="72">
        <v>0</v>
      </c>
      <c r="M271" s="72">
        <f t="shared" si="122"/>
        <v>66679.34</v>
      </c>
      <c r="N271" s="72">
        <v>2100</v>
      </c>
      <c r="O271" s="72">
        <f t="shared" si="123"/>
        <v>21368.799999999999</v>
      </c>
      <c r="P271" s="72">
        <v>21368.799999999999</v>
      </c>
      <c r="Q271" s="83"/>
      <c r="R271" s="18"/>
      <c r="W271" s="16">
        <f t="shared" si="116"/>
        <v>39732.39999999899</v>
      </c>
    </row>
    <row r="272" spans="1:27" s="13" customFormat="1" ht="15.75" customHeight="1" x14ac:dyDescent="0.3">
      <c r="A272" s="75"/>
      <c r="B272" s="97" t="s">
        <v>96</v>
      </c>
      <c r="C272" s="5"/>
      <c r="D272" s="5"/>
      <c r="E272" s="63"/>
      <c r="F272" s="63" t="s">
        <v>18</v>
      </c>
      <c r="G272" s="72">
        <f>SUM(G273:G283)</f>
        <v>17115.900000000001</v>
      </c>
      <c r="H272" s="72">
        <f t="shared" ref="H272:P272" si="125">SUM(H273:H283)</f>
        <v>12949.500000000002</v>
      </c>
      <c r="I272" s="72">
        <f t="shared" si="125"/>
        <v>17115.900000000001</v>
      </c>
      <c r="J272" s="72">
        <f>SUM(J273:J283)</f>
        <v>12949.500000000002</v>
      </c>
      <c r="K272" s="72">
        <f t="shared" si="125"/>
        <v>0</v>
      </c>
      <c r="L272" s="72">
        <f t="shared" si="125"/>
        <v>0</v>
      </c>
      <c r="M272" s="72">
        <f t="shared" si="125"/>
        <v>0</v>
      </c>
      <c r="N272" s="72">
        <f t="shared" si="125"/>
        <v>0</v>
      </c>
      <c r="O272" s="72">
        <f t="shared" si="125"/>
        <v>0</v>
      </c>
      <c r="P272" s="72">
        <f t="shared" si="125"/>
        <v>0</v>
      </c>
      <c r="Q272" s="83"/>
      <c r="R272" s="18"/>
      <c r="W272" s="16">
        <f t="shared" si="116"/>
        <v>4166.3999999999996</v>
      </c>
    </row>
    <row r="273" spans="1:26" s="6" customFormat="1" ht="39.75" customHeight="1" x14ac:dyDescent="0.3">
      <c r="A273" s="75"/>
      <c r="B273" s="97"/>
      <c r="C273" s="63" t="s">
        <v>97</v>
      </c>
      <c r="D273" s="79" t="s">
        <v>51</v>
      </c>
      <c r="E273" s="82" t="s">
        <v>89</v>
      </c>
      <c r="F273" s="63" t="s">
        <v>20</v>
      </c>
      <c r="G273" s="72">
        <f t="shared" ref="G273:H283" si="126">I273+K273+M273+O273</f>
        <v>1526.6</v>
      </c>
      <c r="H273" s="72">
        <f t="shared" si="126"/>
        <v>926.6</v>
      </c>
      <c r="I273" s="72">
        <f>600+J273</f>
        <v>1526.6</v>
      </c>
      <c r="J273" s="72">
        <v>926.6</v>
      </c>
      <c r="K273" s="72">
        <v>0</v>
      </c>
      <c r="L273" s="72">
        <v>0</v>
      </c>
      <c r="M273" s="72">
        <v>0</v>
      </c>
      <c r="N273" s="72">
        <v>0</v>
      </c>
      <c r="O273" s="72">
        <f t="shared" ref="O273:O274" si="127">P273</f>
        <v>0</v>
      </c>
      <c r="P273" s="72">
        <v>0</v>
      </c>
      <c r="Q273" s="83"/>
      <c r="R273" s="37"/>
      <c r="W273" s="16">
        <f t="shared" si="116"/>
        <v>599.99999999999989</v>
      </c>
    </row>
    <row r="274" spans="1:26" ht="25.5" customHeight="1" x14ac:dyDescent="0.3">
      <c r="A274" s="75"/>
      <c r="B274" s="97"/>
      <c r="C274" s="79" t="s">
        <v>98</v>
      </c>
      <c r="D274" s="80"/>
      <c r="E274" s="82"/>
      <c r="F274" s="63" t="s">
        <v>22</v>
      </c>
      <c r="G274" s="72">
        <f t="shared" si="126"/>
        <v>1052.100000000001</v>
      </c>
      <c r="H274" s="72">
        <f t="shared" si="126"/>
        <v>1052.100000000001</v>
      </c>
      <c r="I274" s="72">
        <f t="shared" ref="I274:I276" si="128">J274</f>
        <v>1052.100000000001</v>
      </c>
      <c r="J274" s="72">
        <f>52.1+1160.5-46.8999999999999-113.599999999999</f>
        <v>1052.100000000001</v>
      </c>
      <c r="K274" s="72">
        <v>0</v>
      </c>
      <c r="L274" s="72">
        <v>0</v>
      </c>
      <c r="M274" s="72">
        <v>0</v>
      </c>
      <c r="N274" s="72">
        <v>0</v>
      </c>
      <c r="O274" s="72">
        <f t="shared" si="127"/>
        <v>0</v>
      </c>
      <c r="P274" s="72">
        <v>0</v>
      </c>
      <c r="Q274" s="83"/>
      <c r="R274" s="18"/>
      <c r="W274" s="16">
        <f t="shared" si="116"/>
        <v>0</v>
      </c>
    </row>
    <row r="275" spans="1:26" ht="15.6" customHeight="1" x14ac:dyDescent="0.3">
      <c r="A275" s="75"/>
      <c r="B275" s="97"/>
      <c r="C275" s="80"/>
      <c r="D275" s="80"/>
      <c r="E275" s="82"/>
      <c r="F275" s="63" t="s">
        <v>23</v>
      </c>
      <c r="G275" s="72">
        <f t="shared" si="126"/>
        <v>1132.9000000000001</v>
      </c>
      <c r="H275" s="72">
        <f t="shared" si="126"/>
        <v>1132.9000000000001</v>
      </c>
      <c r="I275" s="72">
        <f t="shared" si="128"/>
        <v>1132.9000000000001</v>
      </c>
      <c r="J275" s="72">
        <f>1165.5-32.6</f>
        <v>1132.9000000000001</v>
      </c>
      <c r="K275" s="72">
        <v>0</v>
      </c>
      <c r="L275" s="72">
        <v>0</v>
      </c>
      <c r="M275" s="72">
        <v>0</v>
      </c>
      <c r="N275" s="72">
        <v>0</v>
      </c>
      <c r="O275" s="72">
        <f t="shared" ref="O275:O278" si="129">1.1*O274</f>
        <v>0</v>
      </c>
      <c r="P275" s="72">
        <v>0</v>
      </c>
      <c r="Q275" s="83"/>
      <c r="R275" s="18"/>
      <c r="W275" s="16">
        <f t="shared" si="116"/>
        <v>0</v>
      </c>
      <c r="Z275" s="32"/>
    </row>
    <row r="276" spans="1:26" ht="15.6" x14ac:dyDescent="0.3">
      <c r="A276" s="75"/>
      <c r="B276" s="97"/>
      <c r="C276" s="80"/>
      <c r="D276" s="80"/>
      <c r="E276" s="82"/>
      <c r="F276" s="63" t="s">
        <v>24</v>
      </c>
      <c r="G276" s="72">
        <f t="shared" si="126"/>
        <v>997.3</v>
      </c>
      <c r="H276" s="72">
        <f t="shared" si="126"/>
        <v>997.3</v>
      </c>
      <c r="I276" s="72">
        <f t="shared" si="128"/>
        <v>997.3</v>
      </c>
      <c r="J276" s="72">
        <v>997.3</v>
      </c>
      <c r="K276" s="72">
        <v>0</v>
      </c>
      <c r="L276" s="72">
        <v>0</v>
      </c>
      <c r="M276" s="72">
        <v>0</v>
      </c>
      <c r="N276" s="72">
        <v>0</v>
      </c>
      <c r="O276" s="72">
        <f t="shared" si="129"/>
        <v>0</v>
      </c>
      <c r="P276" s="72">
        <v>0</v>
      </c>
      <c r="Q276" s="83"/>
      <c r="R276" s="18"/>
      <c r="W276" s="16">
        <f t="shared" si="116"/>
        <v>0</v>
      </c>
    </row>
    <row r="277" spans="1:26" ht="15.6" x14ac:dyDescent="0.3">
      <c r="A277" s="75"/>
      <c r="B277" s="97"/>
      <c r="C277" s="80"/>
      <c r="D277" s="80"/>
      <c r="E277" s="82"/>
      <c r="F277" s="63" t="s">
        <v>25</v>
      </c>
      <c r="G277" s="72">
        <f t="shared" si="126"/>
        <v>1284.4000000000001</v>
      </c>
      <c r="H277" s="72">
        <f t="shared" si="126"/>
        <v>1284.4000000000001</v>
      </c>
      <c r="I277" s="72">
        <v>1284.4000000000001</v>
      </c>
      <c r="J277" s="72">
        <f>I277</f>
        <v>1284.4000000000001</v>
      </c>
      <c r="K277" s="72">
        <v>0</v>
      </c>
      <c r="L277" s="72">
        <v>0</v>
      </c>
      <c r="M277" s="72">
        <v>0</v>
      </c>
      <c r="N277" s="72">
        <v>0</v>
      </c>
      <c r="O277" s="72">
        <f t="shared" si="129"/>
        <v>0</v>
      </c>
      <c r="P277" s="72">
        <v>0</v>
      </c>
      <c r="Q277" s="83"/>
      <c r="R277" s="18"/>
      <c r="W277" s="16">
        <f t="shared" si="116"/>
        <v>0</v>
      </c>
    </row>
    <row r="278" spans="1:26" ht="15.6" x14ac:dyDescent="0.3">
      <c r="A278" s="75"/>
      <c r="B278" s="97"/>
      <c r="C278" s="80"/>
      <c r="D278" s="80"/>
      <c r="E278" s="82"/>
      <c r="F278" s="63" t="s">
        <v>26</v>
      </c>
      <c r="G278" s="72">
        <f t="shared" si="126"/>
        <v>265.5</v>
      </c>
      <c r="H278" s="72">
        <f t="shared" ref="H278:H283" si="130">J278+L278+N278+P278</f>
        <v>265.5</v>
      </c>
      <c r="I278" s="72">
        <v>265.5</v>
      </c>
      <c r="J278" s="72">
        <v>265.5</v>
      </c>
      <c r="K278" s="72">
        <v>0</v>
      </c>
      <c r="L278" s="72">
        <v>0</v>
      </c>
      <c r="M278" s="72">
        <v>0</v>
      </c>
      <c r="N278" s="72">
        <v>0</v>
      </c>
      <c r="O278" s="72">
        <f t="shared" si="129"/>
        <v>0</v>
      </c>
      <c r="P278" s="72">
        <v>0</v>
      </c>
      <c r="Q278" s="83"/>
      <c r="R278" s="18"/>
      <c r="W278" s="16">
        <f t="shared" si="116"/>
        <v>0</v>
      </c>
    </row>
    <row r="279" spans="1:26" ht="15.6" x14ac:dyDescent="0.3">
      <c r="A279" s="75"/>
      <c r="B279" s="97"/>
      <c r="C279" s="80"/>
      <c r="D279" s="80"/>
      <c r="E279" s="82"/>
      <c r="F279" s="63" t="s">
        <v>27</v>
      </c>
      <c r="G279" s="72">
        <f t="shared" si="126"/>
        <v>807.5</v>
      </c>
      <c r="H279" s="72">
        <f t="shared" si="130"/>
        <v>807.5</v>
      </c>
      <c r="I279" s="72">
        <v>807.5</v>
      </c>
      <c r="J279" s="72">
        <v>807.5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0</v>
      </c>
      <c r="Q279" s="83"/>
      <c r="R279" s="18"/>
      <c r="W279" s="16">
        <f t="shared" si="116"/>
        <v>0</v>
      </c>
    </row>
    <row r="280" spans="1:26" ht="15.6" x14ac:dyDescent="0.3">
      <c r="A280" s="75"/>
      <c r="B280" s="97"/>
      <c r="C280" s="80"/>
      <c r="D280" s="80"/>
      <c r="E280" s="82"/>
      <c r="F280" s="63" t="s">
        <v>28</v>
      </c>
      <c r="G280" s="72">
        <f t="shared" si="126"/>
        <v>1237.0999999999999</v>
      </c>
      <c r="H280" s="72">
        <f t="shared" si="130"/>
        <v>1237.0999999999999</v>
      </c>
      <c r="I280" s="72">
        <v>1237.0999999999999</v>
      </c>
      <c r="J280" s="72">
        <v>1237.0999999999999</v>
      </c>
      <c r="K280" s="72">
        <v>0</v>
      </c>
      <c r="L280" s="72">
        <v>0</v>
      </c>
      <c r="M280" s="72">
        <v>0</v>
      </c>
      <c r="N280" s="72">
        <v>0</v>
      </c>
      <c r="O280" s="72">
        <v>0</v>
      </c>
      <c r="P280" s="72">
        <v>0</v>
      </c>
      <c r="Q280" s="83"/>
      <c r="R280" s="18"/>
      <c r="W280" s="16">
        <f t="shared" si="116"/>
        <v>0</v>
      </c>
    </row>
    <row r="281" spans="1:26" ht="15.6" x14ac:dyDescent="0.3">
      <c r="A281" s="75"/>
      <c r="B281" s="97"/>
      <c r="C281" s="80"/>
      <c r="D281" s="80"/>
      <c r="E281" s="82"/>
      <c r="F281" s="63" t="s">
        <v>29</v>
      </c>
      <c r="G281" s="72">
        <f t="shared" si="126"/>
        <v>2937.5</v>
      </c>
      <c r="H281" s="72">
        <f t="shared" si="130"/>
        <v>2915.1</v>
      </c>
      <c r="I281" s="72">
        <v>2937.5</v>
      </c>
      <c r="J281" s="72">
        <v>2915.1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  <c r="Q281" s="83"/>
      <c r="R281" s="18"/>
      <c r="W281" s="16">
        <f t="shared" si="116"/>
        <v>22.400000000000091</v>
      </c>
    </row>
    <row r="282" spans="1:26" ht="15.6" x14ac:dyDescent="0.3">
      <c r="A282" s="75"/>
      <c r="B282" s="97"/>
      <c r="C282" s="80"/>
      <c r="D282" s="80"/>
      <c r="E282" s="82"/>
      <c r="F282" s="63" t="s">
        <v>30</v>
      </c>
      <c r="G282" s="72">
        <f t="shared" si="126"/>
        <v>2937.5</v>
      </c>
      <c r="H282" s="72">
        <f t="shared" si="130"/>
        <v>1165.5</v>
      </c>
      <c r="I282" s="72">
        <f t="shared" ref="I282:I283" si="131">I281</f>
        <v>2937.5</v>
      </c>
      <c r="J282" s="72">
        <v>1165.5</v>
      </c>
      <c r="K282" s="72">
        <v>0</v>
      </c>
      <c r="L282" s="72">
        <v>0</v>
      </c>
      <c r="M282" s="72">
        <v>0</v>
      </c>
      <c r="N282" s="72">
        <v>0</v>
      </c>
      <c r="O282" s="72">
        <v>0</v>
      </c>
      <c r="P282" s="72">
        <v>0</v>
      </c>
      <c r="Q282" s="83"/>
      <c r="R282" s="18"/>
      <c r="W282" s="16">
        <f t="shared" si="116"/>
        <v>1772</v>
      </c>
    </row>
    <row r="283" spans="1:26" ht="15.6" x14ac:dyDescent="0.3">
      <c r="A283" s="75"/>
      <c r="B283" s="97"/>
      <c r="C283" s="81"/>
      <c r="D283" s="81"/>
      <c r="E283" s="82"/>
      <c r="F283" s="63" t="s">
        <v>31</v>
      </c>
      <c r="G283" s="72">
        <f t="shared" si="126"/>
        <v>2937.5</v>
      </c>
      <c r="H283" s="72">
        <f t="shared" si="130"/>
        <v>1165.5</v>
      </c>
      <c r="I283" s="72">
        <f t="shared" si="131"/>
        <v>2937.5</v>
      </c>
      <c r="J283" s="72">
        <v>1165.5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  <c r="Q283" s="83"/>
      <c r="R283" s="18"/>
      <c r="W283" s="16">
        <f t="shared" si="116"/>
        <v>1772</v>
      </c>
    </row>
    <row r="284" spans="1:26" s="13" customFormat="1" ht="15.6" customHeight="1" x14ac:dyDescent="0.3">
      <c r="A284" s="75"/>
      <c r="B284" s="97" t="s">
        <v>99</v>
      </c>
      <c r="C284" s="104"/>
      <c r="D284" s="68"/>
      <c r="E284" s="61"/>
      <c r="F284" s="63" t="s">
        <v>18</v>
      </c>
      <c r="G284" s="72">
        <f>SUM(G285:G290)</f>
        <v>1815.6</v>
      </c>
      <c r="H284" s="72">
        <f t="shared" ref="H284:N284" si="132">SUM(H285:H290)</f>
        <v>1515.6</v>
      </c>
      <c r="I284" s="72">
        <f t="shared" si="132"/>
        <v>1500</v>
      </c>
      <c r="J284" s="72">
        <f t="shared" si="132"/>
        <v>1500</v>
      </c>
      <c r="K284" s="72">
        <f t="shared" si="132"/>
        <v>0</v>
      </c>
      <c r="L284" s="72">
        <f t="shared" si="132"/>
        <v>0</v>
      </c>
      <c r="M284" s="72">
        <f t="shared" si="132"/>
        <v>300</v>
      </c>
      <c r="N284" s="72">
        <f t="shared" si="132"/>
        <v>0</v>
      </c>
      <c r="O284" s="72">
        <f>SUM(O285:O290)</f>
        <v>15.6</v>
      </c>
      <c r="P284" s="72">
        <f>SUM(P285:P290)</f>
        <v>15.6</v>
      </c>
      <c r="Q284" s="83"/>
      <c r="R284" s="18"/>
      <c r="W284" s="16">
        <f t="shared" si="116"/>
        <v>0</v>
      </c>
    </row>
    <row r="285" spans="1:26" s="6" customFormat="1" ht="31.2" customHeight="1" x14ac:dyDescent="0.3">
      <c r="A285" s="75"/>
      <c r="B285" s="97"/>
      <c r="C285" s="105"/>
      <c r="D285" s="69"/>
      <c r="E285" s="61"/>
      <c r="F285" s="63" t="s">
        <v>20</v>
      </c>
      <c r="G285" s="72">
        <f>I285+K285+M285+O285</f>
        <v>1815.6</v>
      </c>
      <c r="H285" s="72">
        <f>J285+L285+N285+P285</f>
        <v>1515.6</v>
      </c>
      <c r="I285" s="72">
        <v>1500</v>
      </c>
      <c r="J285" s="72">
        <v>1500</v>
      </c>
      <c r="K285" s="72">
        <v>0</v>
      </c>
      <c r="L285" s="72">
        <v>0</v>
      </c>
      <c r="M285" s="72">
        <v>300</v>
      </c>
      <c r="N285" s="72">
        <v>0</v>
      </c>
      <c r="O285" s="72">
        <v>15.6</v>
      </c>
      <c r="P285" s="72">
        <f>O285</f>
        <v>15.6</v>
      </c>
      <c r="Q285" s="83"/>
      <c r="R285" s="37"/>
      <c r="W285" s="16">
        <f t="shared" si="116"/>
        <v>0</v>
      </c>
    </row>
    <row r="286" spans="1:26" ht="25.95" customHeight="1" x14ac:dyDescent="0.3">
      <c r="A286" s="75"/>
      <c r="B286" s="97"/>
      <c r="C286" s="106"/>
      <c r="D286" s="70"/>
      <c r="E286" s="62"/>
      <c r="F286" s="63" t="s">
        <v>22</v>
      </c>
      <c r="G286" s="107" t="s">
        <v>100</v>
      </c>
      <c r="H286" s="108"/>
      <c r="I286" s="108"/>
      <c r="J286" s="108"/>
      <c r="K286" s="108"/>
      <c r="L286" s="108"/>
      <c r="M286" s="108"/>
      <c r="N286" s="108"/>
      <c r="O286" s="108"/>
      <c r="P286" s="109"/>
      <c r="Q286" s="83"/>
      <c r="R286" s="18"/>
      <c r="W286" s="16">
        <f t="shared" si="116"/>
        <v>0</v>
      </c>
    </row>
    <row r="287" spans="1:26" ht="15.6" hidden="1" customHeight="1" x14ac:dyDescent="0.3">
      <c r="A287" s="75"/>
      <c r="B287" s="97"/>
      <c r="C287" s="63"/>
      <c r="D287" s="63"/>
      <c r="E287" s="62"/>
      <c r="F287" s="63" t="s">
        <v>23</v>
      </c>
      <c r="G287" s="110"/>
      <c r="H287" s="111"/>
      <c r="I287" s="111"/>
      <c r="J287" s="111"/>
      <c r="K287" s="111"/>
      <c r="L287" s="111"/>
      <c r="M287" s="111"/>
      <c r="N287" s="111"/>
      <c r="O287" s="111"/>
      <c r="P287" s="112"/>
      <c r="Q287" s="83"/>
      <c r="R287" s="18"/>
      <c r="W287" s="16">
        <f t="shared" si="116"/>
        <v>0</v>
      </c>
    </row>
    <row r="288" spans="1:26" ht="15.6" hidden="1" customHeight="1" x14ac:dyDescent="0.3">
      <c r="A288" s="75"/>
      <c r="B288" s="97"/>
      <c r="C288" s="63"/>
      <c r="D288" s="63"/>
      <c r="E288" s="68"/>
      <c r="F288" s="63" t="s">
        <v>24</v>
      </c>
      <c r="G288" s="110"/>
      <c r="H288" s="111"/>
      <c r="I288" s="111"/>
      <c r="J288" s="111"/>
      <c r="K288" s="111"/>
      <c r="L288" s="111"/>
      <c r="M288" s="111"/>
      <c r="N288" s="111"/>
      <c r="O288" s="111"/>
      <c r="P288" s="112"/>
      <c r="Q288" s="83"/>
      <c r="R288" s="18"/>
      <c r="W288" s="16">
        <f t="shared" si="116"/>
        <v>0</v>
      </c>
    </row>
    <row r="289" spans="1:23" ht="15.6" hidden="1" customHeight="1" x14ac:dyDescent="0.3">
      <c r="A289" s="75"/>
      <c r="B289" s="97"/>
      <c r="C289" s="63"/>
      <c r="D289" s="63"/>
      <c r="E289" s="69"/>
      <c r="F289" s="63" t="s">
        <v>25</v>
      </c>
      <c r="G289" s="110"/>
      <c r="H289" s="111"/>
      <c r="I289" s="111"/>
      <c r="J289" s="111"/>
      <c r="K289" s="111"/>
      <c r="L289" s="111"/>
      <c r="M289" s="111"/>
      <c r="N289" s="111"/>
      <c r="O289" s="111"/>
      <c r="P289" s="112"/>
      <c r="Q289" s="83"/>
      <c r="R289" s="18"/>
      <c r="W289" s="16">
        <f t="shared" si="116"/>
        <v>0</v>
      </c>
    </row>
    <row r="290" spans="1:23" ht="15.6" hidden="1" customHeight="1" x14ac:dyDescent="0.3">
      <c r="A290" s="75"/>
      <c r="B290" s="97"/>
      <c r="C290" s="63"/>
      <c r="D290" s="63"/>
      <c r="E290" s="70"/>
      <c r="F290" s="63" t="s">
        <v>26</v>
      </c>
      <c r="G290" s="113"/>
      <c r="H290" s="114"/>
      <c r="I290" s="114"/>
      <c r="J290" s="114"/>
      <c r="K290" s="114"/>
      <c r="L290" s="114"/>
      <c r="M290" s="114"/>
      <c r="N290" s="114"/>
      <c r="O290" s="114"/>
      <c r="P290" s="115"/>
      <c r="Q290" s="83"/>
      <c r="R290" s="18"/>
      <c r="W290" s="16">
        <f t="shared" si="116"/>
        <v>0</v>
      </c>
    </row>
    <row r="291" spans="1:23" s="13" customFormat="1" ht="15.6" x14ac:dyDescent="0.3">
      <c r="A291" s="75"/>
      <c r="B291" s="97" t="s">
        <v>101</v>
      </c>
      <c r="C291" s="79" t="s">
        <v>65</v>
      </c>
      <c r="D291" s="60"/>
      <c r="E291" s="79"/>
      <c r="F291" s="63" t="s">
        <v>18</v>
      </c>
      <c r="G291" s="72">
        <f>SUM(G292:G297)</f>
        <v>6500</v>
      </c>
      <c r="H291" s="72">
        <f t="shared" ref="H291:P291" si="133">SUM(H292:H297)</f>
        <v>0</v>
      </c>
      <c r="I291" s="72">
        <f t="shared" si="133"/>
        <v>6500</v>
      </c>
      <c r="J291" s="72">
        <f t="shared" si="133"/>
        <v>0</v>
      </c>
      <c r="K291" s="72">
        <f t="shared" si="133"/>
        <v>0</v>
      </c>
      <c r="L291" s="72">
        <f t="shared" si="133"/>
        <v>0</v>
      </c>
      <c r="M291" s="72">
        <f t="shared" si="133"/>
        <v>0</v>
      </c>
      <c r="N291" s="72">
        <f t="shared" si="133"/>
        <v>0</v>
      </c>
      <c r="O291" s="72">
        <f t="shared" si="133"/>
        <v>0</v>
      </c>
      <c r="P291" s="72">
        <f t="shared" si="133"/>
        <v>0</v>
      </c>
      <c r="Q291" s="83"/>
      <c r="R291" s="18"/>
      <c r="W291" s="16">
        <f t="shared" si="116"/>
        <v>6500</v>
      </c>
    </row>
    <row r="292" spans="1:23" s="6" customFormat="1" ht="31.95" customHeight="1" x14ac:dyDescent="0.3">
      <c r="A292" s="75"/>
      <c r="B292" s="97"/>
      <c r="C292" s="80"/>
      <c r="D292" s="61"/>
      <c r="E292" s="80"/>
      <c r="F292" s="63" t="s">
        <v>20</v>
      </c>
      <c r="G292" s="72">
        <f>I292+K292+M292+O292</f>
        <v>6500</v>
      </c>
      <c r="H292" s="72">
        <f>J292+L292+N292+P292</f>
        <v>0</v>
      </c>
      <c r="I292" s="72">
        <f>6500</f>
        <v>6500</v>
      </c>
      <c r="J292" s="72">
        <v>0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f>O292</f>
        <v>0</v>
      </c>
      <c r="Q292" s="83"/>
      <c r="R292" s="37"/>
      <c r="W292" s="16">
        <f t="shared" si="116"/>
        <v>6500</v>
      </c>
    </row>
    <row r="293" spans="1:23" ht="61.2" customHeight="1" x14ac:dyDescent="0.3">
      <c r="A293" s="75"/>
      <c r="B293" s="97"/>
      <c r="C293" s="81"/>
      <c r="D293" s="62"/>
      <c r="E293" s="81"/>
      <c r="F293" s="63" t="s">
        <v>22</v>
      </c>
      <c r="G293" s="107" t="s">
        <v>100</v>
      </c>
      <c r="H293" s="108"/>
      <c r="I293" s="108"/>
      <c r="J293" s="108"/>
      <c r="K293" s="108"/>
      <c r="L293" s="108"/>
      <c r="M293" s="108"/>
      <c r="N293" s="108"/>
      <c r="O293" s="108"/>
      <c r="P293" s="109"/>
      <c r="Q293" s="83"/>
      <c r="R293" s="18"/>
      <c r="W293" s="16">
        <f t="shared" si="116"/>
        <v>0</v>
      </c>
    </row>
    <row r="294" spans="1:23" ht="15.6" hidden="1" customHeight="1" x14ac:dyDescent="0.3">
      <c r="A294" s="75"/>
      <c r="B294" s="97"/>
      <c r="C294" s="63"/>
      <c r="D294" s="63"/>
      <c r="E294" s="63"/>
      <c r="F294" s="63" t="s">
        <v>23</v>
      </c>
      <c r="G294" s="110"/>
      <c r="H294" s="111"/>
      <c r="I294" s="111"/>
      <c r="J294" s="111"/>
      <c r="K294" s="111"/>
      <c r="L294" s="111"/>
      <c r="M294" s="111"/>
      <c r="N294" s="111"/>
      <c r="O294" s="111"/>
      <c r="P294" s="112"/>
      <c r="Q294" s="83"/>
      <c r="R294" s="18"/>
      <c r="W294" s="16">
        <f t="shared" si="116"/>
        <v>0</v>
      </c>
    </row>
    <row r="295" spans="1:23" ht="15.6" hidden="1" customHeight="1" x14ac:dyDescent="0.3">
      <c r="A295" s="75"/>
      <c r="B295" s="97"/>
      <c r="C295" s="63"/>
      <c r="D295" s="63"/>
      <c r="E295" s="60"/>
      <c r="F295" s="63" t="s">
        <v>24</v>
      </c>
      <c r="G295" s="110"/>
      <c r="H295" s="111"/>
      <c r="I295" s="111"/>
      <c r="J295" s="111"/>
      <c r="K295" s="111"/>
      <c r="L295" s="111"/>
      <c r="M295" s="111"/>
      <c r="N295" s="111"/>
      <c r="O295" s="111"/>
      <c r="P295" s="112"/>
      <c r="Q295" s="83"/>
      <c r="R295" s="18"/>
      <c r="W295" s="16">
        <f t="shared" si="116"/>
        <v>0</v>
      </c>
    </row>
    <row r="296" spans="1:23" ht="15.6" hidden="1" customHeight="1" x14ac:dyDescent="0.3">
      <c r="A296" s="75"/>
      <c r="B296" s="97"/>
      <c r="C296" s="63"/>
      <c r="D296" s="63"/>
      <c r="E296" s="61"/>
      <c r="F296" s="63" t="s">
        <v>25</v>
      </c>
      <c r="G296" s="110"/>
      <c r="H296" s="111"/>
      <c r="I296" s="111"/>
      <c r="J296" s="111"/>
      <c r="K296" s="111"/>
      <c r="L296" s="111"/>
      <c r="M296" s="111"/>
      <c r="N296" s="111"/>
      <c r="O296" s="111"/>
      <c r="P296" s="112"/>
      <c r="Q296" s="83"/>
      <c r="R296" s="18"/>
      <c r="W296" s="16">
        <f t="shared" si="116"/>
        <v>0</v>
      </c>
    </row>
    <row r="297" spans="1:23" ht="15.6" hidden="1" customHeight="1" x14ac:dyDescent="0.3">
      <c r="A297" s="75"/>
      <c r="B297" s="97"/>
      <c r="C297" s="63"/>
      <c r="D297" s="63"/>
      <c r="E297" s="62"/>
      <c r="F297" s="63" t="s">
        <v>26</v>
      </c>
      <c r="G297" s="113"/>
      <c r="H297" s="114"/>
      <c r="I297" s="114"/>
      <c r="J297" s="114"/>
      <c r="K297" s="114"/>
      <c r="L297" s="114"/>
      <c r="M297" s="114"/>
      <c r="N297" s="114"/>
      <c r="O297" s="114"/>
      <c r="P297" s="115"/>
      <c r="Q297" s="83"/>
      <c r="R297" s="18"/>
      <c r="W297" s="16">
        <f t="shared" si="116"/>
        <v>0</v>
      </c>
    </row>
    <row r="298" spans="1:23" ht="15.6" hidden="1" customHeight="1" x14ac:dyDescent="0.3">
      <c r="A298" s="75"/>
      <c r="B298" s="97" t="s">
        <v>102</v>
      </c>
      <c r="C298" s="63"/>
      <c r="D298" s="63"/>
      <c r="E298" s="63"/>
      <c r="F298" s="63" t="s">
        <v>18</v>
      </c>
      <c r="G298" s="72">
        <f>SUM(G299:G304)</f>
        <v>0</v>
      </c>
      <c r="H298" s="72">
        <f t="shared" ref="H298:P298" si="134">SUM(H299:H304)</f>
        <v>0</v>
      </c>
      <c r="I298" s="72">
        <f t="shared" si="134"/>
        <v>0</v>
      </c>
      <c r="J298" s="72">
        <f t="shared" si="134"/>
        <v>0</v>
      </c>
      <c r="K298" s="72">
        <f t="shared" si="134"/>
        <v>0</v>
      </c>
      <c r="L298" s="72">
        <f t="shared" si="134"/>
        <v>0</v>
      </c>
      <c r="M298" s="72">
        <f t="shared" si="134"/>
        <v>0</v>
      </c>
      <c r="N298" s="72">
        <f t="shared" si="134"/>
        <v>0</v>
      </c>
      <c r="O298" s="72">
        <f t="shared" si="134"/>
        <v>0</v>
      </c>
      <c r="P298" s="72">
        <f t="shared" si="134"/>
        <v>0</v>
      </c>
      <c r="Q298" s="83"/>
      <c r="R298" s="18"/>
      <c r="W298" s="16">
        <f t="shared" si="116"/>
        <v>0</v>
      </c>
    </row>
    <row r="299" spans="1:23" s="6" customFormat="1" ht="15.6" hidden="1" customHeight="1" x14ac:dyDescent="0.3">
      <c r="A299" s="75"/>
      <c r="B299" s="97" t="s">
        <v>103</v>
      </c>
      <c r="C299" s="63"/>
      <c r="D299" s="63"/>
      <c r="E299" s="63"/>
      <c r="F299" s="63" t="s">
        <v>20</v>
      </c>
      <c r="G299" s="72">
        <f t="shared" ref="G299:H304" si="135">I299+K299+M299+O299</f>
        <v>0</v>
      </c>
      <c r="H299" s="72">
        <f t="shared" si="135"/>
        <v>0</v>
      </c>
      <c r="I299" s="72"/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>
        <f t="shared" ref="O299:O304" si="136">P299</f>
        <v>0</v>
      </c>
      <c r="P299" s="72">
        <v>0</v>
      </c>
      <c r="Q299" s="83"/>
      <c r="R299" s="37"/>
      <c r="W299" s="16">
        <f t="shared" si="116"/>
        <v>0</v>
      </c>
    </row>
    <row r="300" spans="1:23" ht="15.6" hidden="1" customHeight="1" x14ac:dyDescent="0.3">
      <c r="A300" s="75"/>
      <c r="B300" s="97" t="s">
        <v>104</v>
      </c>
      <c r="C300" s="63"/>
      <c r="D300" s="63"/>
      <c r="E300" s="63"/>
      <c r="F300" s="63" t="s">
        <v>22</v>
      </c>
      <c r="G300" s="72">
        <f t="shared" si="135"/>
        <v>0</v>
      </c>
      <c r="H300" s="72">
        <f t="shared" si="135"/>
        <v>0</v>
      </c>
      <c r="I300" s="72"/>
      <c r="J300" s="72">
        <v>0</v>
      </c>
      <c r="K300" s="72">
        <v>0</v>
      </c>
      <c r="L300" s="72">
        <v>0</v>
      </c>
      <c r="M300" s="72">
        <v>0</v>
      </c>
      <c r="N300" s="72">
        <v>0</v>
      </c>
      <c r="O300" s="72">
        <f t="shared" si="136"/>
        <v>0</v>
      </c>
      <c r="P300" s="72">
        <v>0</v>
      </c>
      <c r="Q300" s="83"/>
      <c r="R300" s="18"/>
      <c r="W300" s="16">
        <f t="shared" si="116"/>
        <v>0</v>
      </c>
    </row>
    <row r="301" spans="1:23" ht="15.6" hidden="1" customHeight="1" x14ac:dyDescent="0.3">
      <c r="A301" s="75"/>
      <c r="B301" s="97"/>
      <c r="C301" s="63"/>
      <c r="D301" s="63"/>
      <c r="E301" s="63"/>
      <c r="F301" s="63" t="s">
        <v>23</v>
      </c>
      <c r="G301" s="72">
        <f t="shared" si="135"/>
        <v>0</v>
      </c>
      <c r="H301" s="72">
        <f t="shared" si="135"/>
        <v>0</v>
      </c>
      <c r="I301" s="72"/>
      <c r="J301" s="72">
        <v>0</v>
      </c>
      <c r="K301" s="72">
        <v>0</v>
      </c>
      <c r="L301" s="72">
        <v>0</v>
      </c>
      <c r="M301" s="72">
        <v>0</v>
      </c>
      <c r="N301" s="72">
        <v>0</v>
      </c>
      <c r="O301" s="72">
        <f t="shared" si="136"/>
        <v>0</v>
      </c>
      <c r="P301" s="72">
        <v>0</v>
      </c>
      <c r="Q301" s="83"/>
      <c r="R301" s="18"/>
      <c r="W301" s="16">
        <f t="shared" si="116"/>
        <v>0</v>
      </c>
    </row>
    <row r="302" spans="1:23" ht="15.6" hidden="1" customHeight="1" x14ac:dyDescent="0.3">
      <c r="A302" s="75"/>
      <c r="B302" s="97"/>
      <c r="C302" s="63"/>
      <c r="D302" s="63"/>
      <c r="E302" s="63"/>
      <c r="F302" s="63" t="s">
        <v>24</v>
      </c>
      <c r="G302" s="72">
        <f t="shared" si="135"/>
        <v>0</v>
      </c>
      <c r="H302" s="72">
        <f t="shared" si="135"/>
        <v>0</v>
      </c>
      <c r="I302" s="72"/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f t="shared" si="136"/>
        <v>0</v>
      </c>
      <c r="P302" s="72">
        <v>0</v>
      </c>
      <c r="Q302" s="83"/>
      <c r="R302" s="18"/>
      <c r="W302" s="16">
        <f t="shared" si="116"/>
        <v>0</v>
      </c>
    </row>
    <row r="303" spans="1:23" ht="15.6" hidden="1" customHeight="1" x14ac:dyDescent="0.3">
      <c r="A303" s="75"/>
      <c r="B303" s="97"/>
      <c r="C303" s="63"/>
      <c r="D303" s="63"/>
      <c r="E303" s="63"/>
      <c r="F303" s="63" t="s">
        <v>25</v>
      </c>
      <c r="G303" s="72">
        <f t="shared" si="135"/>
        <v>0</v>
      </c>
      <c r="H303" s="72">
        <f t="shared" si="135"/>
        <v>0</v>
      </c>
      <c r="I303" s="72"/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f t="shared" si="136"/>
        <v>0</v>
      </c>
      <c r="P303" s="72">
        <v>0</v>
      </c>
      <c r="Q303" s="83"/>
      <c r="R303" s="18"/>
      <c r="W303" s="16">
        <f t="shared" si="116"/>
        <v>0</v>
      </c>
    </row>
    <row r="304" spans="1:23" ht="15.6" hidden="1" customHeight="1" x14ac:dyDescent="0.3">
      <c r="A304" s="75"/>
      <c r="B304" s="97"/>
      <c r="C304" s="63"/>
      <c r="D304" s="63"/>
      <c r="E304" s="63"/>
      <c r="F304" s="63" t="s">
        <v>26</v>
      </c>
      <c r="G304" s="72">
        <f t="shared" si="135"/>
        <v>0</v>
      </c>
      <c r="H304" s="72">
        <f t="shared" si="135"/>
        <v>0</v>
      </c>
      <c r="I304" s="72"/>
      <c r="J304" s="72">
        <v>0</v>
      </c>
      <c r="K304" s="72">
        <v>0</v>
      </c>
      <c r="L304" s="72">
        <v>0</v>
      </c>
      <c r="M304" s="72">
        <v>0</v>
      </c>
      <c r="N304" s="72">
        <v>0</v>
      </c>
      <c r="O304" s="72">
        <f t="shared" si="136"/>
        <v>0</v>
      </c>
      <c r="P304" s="72">
        <v>0</v>
      </c>
      <c r="Q304" s="83"/>
      <c r="R304" s="18"/>
      <c r="W304" s="16">
        <f t="shared" si="116"/>
        <v>0</v>
      </c>
    </row>
    <row r="305" spans="1:23" ht="15.6" hidden="1" customHeight="1" x14ac:dyDescent="0.3">
      <c r="A305" s="75"/>
      <c r="B305" s="97" t="s">
        <v>105</v>
      </c>
      <c r="C305" s="63"/>
      <c r="D305" s="63"/>
      <c r="E305" s="63"/>
      <c r="F305" s="63" t="s">
        <v>18</v>
      </c>
      <c r="G305" s="72">
        <f>SUM(G306:G311)</f>
        <v>0</v>
      </c>
      <c r="H305" s="72">
        <f t="shared" ref="H305:P305" si="137">SUM(H306:H311)</f>
        <v>0</v>
      </c>
      <c r="I305" s="72">
        <f t="shared" si="137"/>
        <v>0</v>
      </c>
      <c r="J305" s="72">
        <f t="shared" si="137"/>
        <v>0</v>
      </c>
      <c r="K305" s="72">
        <f t="shared" si="137"/>
        <v>0</v>
      </c>
      <c r="L305" s="72">
        <f t="shared" si="137"/>
        <v>0</v>
      </c>
      <c r="M305" s="72">
        <f t="shared" si="137"/>
        <v>0</v>
      </c>
      <c r="N305" s="72">
        <f t="shared" si="137"/>
        <v>0</v>
      </c>
      <c r="O305" s="72">
        <f t="shared" si="137"/>
        <v>0</v>
      </c>
      <c r="P305" s="72">
        <f t="shared" si="137"/>
        <v>0</v>
      </c>
      <c r="Q305" s="83"/>
      <c r="R305" s="18"/>
      <c r="W305" s="16">
        <f t="shared" si="116"/>
        <v>0</v>
      </c>
    </row>
    <row r="306" spans="1:23" s="6" customFormat="1" ht="15.6" hidden="1" customHeight="1" x14ac:dyDescent="0.3">
      <c r="A306" s="75"/>
      <c r="B306" s="97"/>
      <c r="C306" s="63"/>
      <c r="D306" s="63"/>
      <c r="E306" s="63"/>
      <c r="F306" s="63" t="s">
        <v>20</v>
      </c>
      <c r="G306" s="72">
        <f t="shared" ref="G306:H311" si="138">I306+K306+M306+O306</f>
        <v>0</v>
      </c>
      <c r="H306" s="72">
        <f t="shared" si="138"/>
        <v>0</v>
      </c>
      <c r="I306" s="72"/>
      <c r="J306" s="72">
        <v>0</v>
      </c>
      <c r="K306" s="72">
        <v>0</v>
      </c>
      <c r="L306" s="72">
        <v>0</v>
      </c>
      <c r="M306" s="72">
        <v>0</v>
      </c>
      <c r="N306" s="72">
        <v>0</v>
      </c>
      <c r="O306" s="72">
        <f t="shared" ref="O306:O311" si="139">P306</f>
        <v>0</v>
      </c>
      <c r="P306" s="72">
        <v>0</v>
      </c>
      <c r="Q306" s="83"/>
      <c r="R306" s="37"/>
      <c r="W306" s="16">
        <f t="shared" si="116"/>
        <v>0</v>
      </c>
    </row>
    <row r="307" spans="1:23" ht="15.6" hidden="1" customHeight="1" x14ac:dyDescent="0.3">
      <c r="A307" s="75"/>
      <c r="B307" s="97"/>
      <c r="C307" s="63"/>
      <c r="D307" s="63"/>
      <c r="E307" s="63"/>
      <c r="F307" s="63" t="s">
        <v>22</v>
      </c>
      <c r="G307" s="72">
        <f t="shared" si="138"/>
        <v>0</v>
      </c>
      <c r="H307" s="72">
        <f t="shared" si="138"/>
        <v>0</v>
      </c>
      <c r="I307" s="72"/>
      <c r="J307" s="72">
        <v>0</v>
      </c>
      <c r="K307" s="72">
        <v>0</v>
      </c>
      <c r="L307" s="72">
        <v>0</v>
      </c>
      <c r="M307" s="72">
        <v>0</v>
      </c>
      <c r="N307" s="72">
        <v>0</v>
      </c>
      <c r="O307" s="72">
        <f t="shared" si="139"/>
        <v>0</v>
      </c>
      <c r="P307" s="72">
        <v>0</v>
      </c>
      <c r="Q307" s="83"/>
      <c r="R307" s="18"/>
      <c r="W307" s="16">
        <f t="shared" si="116"/>
        <v>0</v>
      </c>
    </row>
    <row r="308" spans="1:23" ht="15.6" hidden="1" customHeight="1" x14ac:dyDescent="0.3">
      <c r="A308" s="75"/>
      <c r="B308" s="97"/>
      <c r="C308" s="63"/>
      <c r="D308" s="63"/>
      <c r="E308" s="63"/>
      <c r="F308" s="63" t="s">
        <v>23</v>
      </c>
      <c r="G308" s="72">
        <f t="shared" si="138"/>
        <v>0</v>
      </c>
      <c r="H308" s="72">
        <f t="shared" si="138"/>
        <v>0</v>
      </c>
      <c r="I308" s="72"/>
      <c r="J308" s="72">
        <v>0</v>
      </c>
      <c r="K308" s="72">
        <v>0</v>
      </c>
      <c r="L308" s="72">
        <v>0</v>
      </c>
      <c r="M308" s="72">
        <v>0</v>
      </c>
      <c r="N308" s="72">
        <v>0</v>
      </c>
      <c r="O308" s="72">
        <f t="shared" si="139"/>
        <v>0</v>
      </c>
      <c r="P308" s="72">
        <v>0</v>
      </c>
      <c r="Q308" s="83"/>
      <c r="R308" s="18"/>
      <c r="W308" s="16">
        <f t="shared" si="116"/>
        <v>0</v>
      </c>
    </row>
    <row r="309" spans="1:23" ht="15.6" hidden="1" customHeight="1" x14ac:dyDescent="0.3">
      <c r="A309" s="75"/>
      <c r="B309" s="97"/>
      <c r="C309" s="63"/>
      <c r="D309" s="63"/>
      <c r="E309" s="63"/>
      <c r="F309" s="63" t="s">
        <v>24</v>
      </c>
      <c r="G309" s="72">
        <f t="shared" si="138"/>
        <v>0</v>
      </c>
      <c r="H309" s="72">
        <f t="shared" si="138"/>
        <v>0</v>
      </c>
      <c r="I309" s="72"/>
      <c r="J309" s="72">
        <v>0</v>
      </c>
      <c r="K309" s="72">
        <v>0</v>
      </c>
      <c r="L309" s="72">
        <v>0</v>
      </c>
      <c r="M309" s="72">
        <v>0</v>
      </c>
      <c r="N309" s="72">
        <v>0</v>
      </c>
      <c r="O309" s="72">
        <f t="shared" si="139"/>
        <v>0</v>
      </c>
      <c r="P309" s="72">
        <v>0</v>
      </c>
      <c r="Q309" s="83"/>
      <c r="R309" s="18"/>
      <c r="W309" s="16">
        <f t="shared" si="116"/>
        <v>0</v>
      </c>
    </row>
    <row r="310" spans="1:23" ht="15.6" hidden="1" customHeight="1" x14ac:dyDescent="0.3">
      <c r="A310" s="75"/>
      <c r="B310" s="97"/>
      <c r="C310" s="63"/>
      <c r="D310" s="63"/>
      <c r="E310" s="63"/>
      <c r="F310" s="63" t="s">
        <v>25</v>
      </c>
      <c r="G310" s="72">
        <f t="shared" si="138"/>
        <v>0</v>
      </c>
      <c r="H310" s="72">
        <f t="shared" si="138"/>
        <v>0</v>
      </c>
      <c r="I310" s="72"/>
      <c r="J310" s="72">
        <v>0</v>
      </c>
      <c r="K310" s="72">
        <v>0</v>
      </c>
      <c r="L310" s="72">
        <v>0</v>
      </c>
      <c r="M310" s="72">
        <v>0</v>
      </c>
      <c r="N310" s="72">
        <v>0</v>
      </c>
      <c r="O310" s="72">
        <f t="shared" si="139"/>
        <v>0</v>
      </c>
      <c r="P310" s="72">
        <v>0</v>
      </c>
      <c r="Q310" s="83"/>
      <c r="R310" s="18"/>
      <c r="W310" s="16">
        <f t="shared" si="116"/>
        <v>0</v>
      </c>
    </row>
    <row r="311" spans="1:23" ht="15.6" hidden="1" customHeight="1" x14ac:dyDescent="0.3">
      <c r="A311" s="75"/>
      <c r="B311" s="97"/>
      <c r="C311" s="63"/>
      <c r="D311" s="63"/>
      <c r="E311" s="63"/>
      <c r="F311" s="63" t="s">
        <v>26</v>
      </c>
      <c r="G311" s="72">
        <f t="shared" si="138"/>
        <v>0</v>
      </c>
      <c r="H311" s="72">
        <f t="shared" si="138"/>
        <v>0</v>
      </c>
      <c r="I311" s="72"/>
      <c r="J311" s="72">
        <v>0</v>
      </c>
      <c r="K311" s="72">
        <v>0</v>
      </c>
      <c r="L311" s="72">
        <v>0</v>
      </c>
      <c r="M311" s="72">
        <v>0</v>
      </c>
      <c r="N311" s="72">
        <v>0</v>
      </c>
      <c r="O311" s="72">
        <f t="shared" si="139"/>
        <v>0</v>
      </c>
      <c r="P311" s="72">
        <v>0</v>
      </c>
      <c r="Q311" s="83"/>
      <c r="R311" s="18"/>
      <c r="W311" s="16">
        <f t="shared" si="116"/>
        <v>0</v>
      </c>
    </row>
    <row r="312" spans="1:23" s="13" customFormat="1" ht="101.25" customHeight="1" x14ac:dyDescent="0.3">
      <c r="A312" s="75"/>
      <c r="B312" s="97" t="s">
        <v>106</v>
      </c>
      <c r="C312" s="79" t="s">
        <v>65</v>
      </c>
      <c r="D312" s="60"/>
      <c r="E312" s="79"/>
      <c r="F312" s="63" t="s">
        <v>18</v>
      </c>
      <c r="G312" s="72">
        <f>SUM(G313:G318)</f>
        <v>1145</v>
      </c>
      <c r="H312" s="72">
        <f t="shared" ref="H312:P312" si="140">SUM(H313:H318)</f>
        <v>445</v>
      </c>
      <c r="I312" s="72">
        <f t="shared" si="140"/>
        <v>930</v>
      </c>
      <c r="J312" s="72">
        <f t="shared" si="140"/>
        <v>430</v>
      </c>
      <c r="K312" s="72">
        <f t="shared" si="140"/>
        <v>100</v>
      </c>
      <c r="L312" s="72">
        <f t="shared" si="140"/>
        <v>0</v>
      </c>
      <c r="M312" s="72">
        <f t="shared" si="140"/>
        <v>100</v>
      </c>
      <c r="N312" s="72">
        <f t="shared" si="140"/>
        <v>0</v>
      </c>
      <c r="O312" s="72">
        <f t="shared" si="140"/>
        <v>15</v>
      </c>
      <c r="P312" s="72">
        <f t="shared" si="140"/>
        <v>15</v>
      </c>
      <c r="Q312" s="83"/>
      <c r="R312" s="18"/>
      <c r="W312" s="16">
        <f t="shared" si="116"/>
        <v>500</v>
      </c>
    </row>
    <row r="313" spans="1:23" s="6" customFormat="1" ht="101.25" customHeight="1" x14ac:dyDescent="0.3">
      <c r="A313" s="75"/>
      <c r="B313" s="97"/>
      <c r="C313" s="80"/>
      <c r="D313" s="61"/>
      <c r="E313" s="80"/>
      <c r="F313" s="63" t="s">
        <v>20</v>
      </c>
      <c r="G313" s="72">
        <f>I313+K313+M313+O313</f>
        <v>1145</v>
      </c>
      <c r="H313" s="72">
        <f>J313+L313+N313+P313</f>
        <v>445</v>
      </c>
      <c r="I313" s="72">
        <f>500+J313</f>
        <v>930</v>
      </c>
      <c r="J313" s="72">
        <v>430</v>
      </c>
      <c r="K313" s="72">
        <v>100</v>
      </c>
      <c r="L313" s="72">
        <v>0</v>
      </c>
      <c r="M313" s="72">
        <v>100</v>
      </c>
      <c r="N313" s="72">
        <v>0</v>
      </c>
      <c r="O313" s="72">
        <v>15</v>
      </c>
      <c r="P313" s="72">
        <f>O313</f>
        <v>15</v>
      </c>
      <c r="Q313" s="83"/>
      <c r="R313" s="37"/>
      <c r="W313" s="16">
        <f t="shared" si="116"/>
        <v>500</v>
      </c>
    </row>
    <row r="314" spans="1:23" ht="124.5" customHeight="1" x14ac:dyDescent="0.3">
      <c r="A314" s="75"/>
      <c r="B314" s="97"/>
      <c r="C314" s="81"/>
      <c r="D314" s="62"/>
      <c r="E314" s="81"/>
      <c r="F314" s="63" t="s">
        <v>22</v>
      </c>
      <c r="G314" s="107" t="s">
        <v>107</v>
      </c>
      <c r="H314" s="108"/>
      <c r="I314" s="108"/>
      <c r="J314" s="108"/>
      <c r="K314" s="108"/>
      <c r="L314" s="108"/>
      <c r="M314" s="108"/>
      <c r="N314" s="108"/>
      <c r="O314" s="108"/>
      <c r="P314" s="109"/>
      <c r="Q314" s="83"/>
      <c r="R314" s="18"/>
      <c r="W314" s="16">
        <f t="shared" si="116"/>
        <v>0</v>
      </c>
    </row>
    <row r="315" spans="1:23" ht="15.6" hidden="1" customHeight="1" x14ac:dyDescent="0.3">
      <c r="A315" s="75"/>
      <c r="B315" s="97"/>
      <c r="C315" s="63"/>
      <c r="D315" s="63"/>
      <c r="E315" s="63"/>
      <c r="F315" s="63" t="s">
        <v>23</v>
      </c>
      <c r="G315" s="110"/>
      <c r="H315" s="111"/>
      <c r="I315" s="111"/>
      <c r="J315" s="111"/>
      <c r="K315" s="111"/>
      <c r="L315" s="111"/>
      <c r="M315" s="111"/>
      <c r="N315" s="111"/>
      <c r="O315" s="111"/>
      <c r="P315" s="112"/>
      <c r="Q315" s="83"/>
      <c r="R315" s="18"/>
      <c r="W315" s="16">
        <f t="shared" si="116"/>
        <v>0</v>
      </c>
    </row>
    <row r="316" spans="1:23" ht="15.6" hidden="1" customHeight="1" x14ac:dyDescent="0.3">
      <c r="A316" s="75"/>
      <c r="B316" s="97"/>
      <c r="C316" s="63"/>
      <c r="D316" s="63"/>
      <c r="E316" s="60"/>
      <c r="F316" s="63" t="s">
        <v>24</v>
      </c>
      <c r="G316" s="110"/>
      <c r="H316" s="111"/>
      <c r="I316" s="111"/>
      <c r="J316" s="111"/>
      <c r="K316" s="111"/>
      <c r="L316" s="111"/>
      <c r="M316" s="111"/>
      <c r="N316" s="111"/>
      <c r="O316" s="111"/>
      <c r="P316" s="112"/>
      <c r="Q316" s="83"/>
      <c r="R316" s="18"/>
      <c r="W316" s="16">
        <f t="shared" si="116"/>
        <v>0</v>
      </c>
    </row>
    <row r="317" spans="1:23" ht="15.6" hidden="1" customHeight="1" x14ac:dyDescent="0.3">
      <c r="A317" s="75"/>
      <c r="B317" s="97"/>
      <c r="C317" s="63"/>
      <c r="D317" s="63"/>
      <c r="E317" s="61"/>
      <c r="F317" s="63" t="s">
        <v>25</v>
      </c>
      <c r="G317" s="110"/>
      <c r="H317" s="111"/>
      <c r="I317" s="111"/>
      <c r="J317" s="111"/>
      <c r="K317" s="111"/>
      <c r="L317" s="111"/>
      <c r="M317" s="111"/>
      <c r="N317" s="111"/>
      <c r="O317" s="111"/>
      <c r="P317" s="112"/>
      <c r="Q317" s="83"/>
      <c r="R317" s="18"/>
      <c r="W317" s="16">
        <f t="shared" si="116"/>
        <v>0</v>
      </c>
    </row>
    <row r="318" spans="1:23" ht="27.6" hidden="1" customHeight="1" x14ac:dyDescent="0.3">
      <c r="A318" s="75"/>
      <c r="B318" s="97"/>
      <c r="C318" s="63"/>
      <c r="D318" s="63"/>
      <c r="E318" s="62"/>
      <c r="F318" s="63" t="s">
        <v>26</v>
      </c>
      <c r="G318" s="113"/>
      <c r="H318" s="114"/>
      <c r="I318" s="114"/>
      <c r="J318" s="114"/>
      <c r="K318" s="114"/>
      <c r="L318" s="114"/>
      <c r="M318" s="114"/>
      <c r="N318" s="114"/>
      <c r="O318" s="114"/>
      <c r="P318" s="115"/>
      <c r="Q318" s="83"/>
      <c r="R318" s="18"/>
      <c r="W318" s="16">
        <f t="shared" ref="W318:W381" si="141">I318-J318</f>
        <v>0</v>
      </c>
    </row>
    <row r="319" spans="1:23" s="13" customFormat="1" ht="15.6" x14ac:dyDescent="0.3">
      <c r="A319" s="75"/>
      <c r="B319" s="97" t="s">
        <v>108</v>
      </c>
      <c r="C319" s="79" t="s">
        <v>65</v>
      </c>
      <c r="D319" s="60"/>
      <c r="E319" s="79"/>
      <c r="F319" s="63" t="s">
        <v>18</v>
      </c>
      <c r="G319" s="72">
        <f>SUM(G320:G325)</f>
        <v>700</v>
      </c>
      <c r="H319" s="72">
        <f t="shared" ref="H319:P319" si="142">SUM(H320:H325)</f>
        <v>250</v>
      </c>
      <c r="I319" s="72">
        <f t="shared" si="142"/>
        <v>450</v>
      </c>
      <c r="J319" s="72">
        <f t="shared" si="142"/>
        <v>0</v>
      </c>
      <c r="K319" s="72">
        <f t="shared" si="142"/>
        <v>0</v>
      </c>
      <c r="L319" s="72">
        <f t="shared" si="142"/>
        <v>0</v>
      </c>
      <c r="M319" s="72">
        <f t="shared" si="142"/>
        <v>0</v>
      </c>
      <c r="N319" s="72">
        <f t="shared" si="142"/>
        <v>0</v>
      </c>
      <c r="O319" s="72">
        <f t="shared" si="142"/>
        <v>250</v>
      </c>
      <c r="P319" s="72">
        <f t="shared" si="142"/>
        <v>250</v>
      </c>
      <c r="Q319" s="83"/>
      <c r="R319" s="18"/>
      <c r="W319" s="16">
        <f t="shared" si="141"/>
        <v>450</v>
      </c>
    </row>
    <row r="320" spans="1:23" s="6" customFormat="1" ht="15.6" x14ac:dyDescent="0.3">
      <c r="A320" s="75"/>
      <c r="B320" s="97"/>
      <c r="C320" s="80"/>
      <c r="D320" s="61"/>
      <c r="E320" s="80"/>
      <c r="F320" s="63" t="s">
        <v>20</v>
      </c>
      <c r="G320" s="72">
        <f>I320+K320+M320+O320</f>
        <v>700</v>
      </c>
      <c r="H320" s="72">
        <f>J320+L320+N320+P320</f>
        <v>250</v>
      </c>
      <c r="I320" s="72">
        <f>450+J320</f>
        <v>450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250</v>
      </c>
      <c r="P320" s="72">
        <f>O320</f>
        <v>250</v>
      </c>
      <c r="Q320" s="83"/>
      <c r="R320" s="37"/>
      <c r="W320" s="16">
        <f t="shared" si="141"/>
        <v>450</v>
      </c>
    </row>
    <row r="321" spans="1:23" ht="28.2" customHeight="1" x14ac:dyDescent="0.3">
      <c r="A321" s="75"/>
      <c r="B321" s="97"/>
      <c r="C321" s="81"/>
      <c r="D321" s="62"/>
      <c r="E321" s="81"/>
      <c r="F321" s="63" t="s">
        <v>22</v>
      </c>
      <c r="G321" s="107" t="s">
        <v>107</v>
      </c>
      <c r="H321" s="108"/>
      <c r="I321" s="108"/>
      <c r="J321" s="108"/>
      <c r="K321" s="108"/>
      <c r="L321" s="108"/>
      <c r="M321" s="108"/>
      <c r="N321" s="108"/>
      <c r="O321" s="108"/>
      <c r="P321" s="109"/>
      <c r="Q321" s="83"/>
      <c r="R321" s="18"/>
      <c r="W321" s="16">
        <f t="shared" si="141"/>
        <v>0</v>
      </c>
    </row>
    <row r="322" spans="1:23" ht="15.6" hidden="1" customHeight="1" x14ac:dyDescent="0.3">
      <c r="A322" s="75"/>
      <c r="B322" s="97"/>
      <c r="C322" s="63"/>
      <c r="D322" s="63"/>
      <c r="E322" s="63"/>
      <c r="F322" s="63" t="s">
        <v>23</v>
      </c>
      <c r="G322" s="110"/>
      <c r="H322" s="111"/>
      <c r="I322" s="111"/>
      <c r="J322" s="111"/>
      <c r="K322" s="111"/>
      <c r="L322" s="111"/>
      <c r="M322" s="111"/>
      <c r="N322" s="111"/>
      <c r="O322" s="111"/>
      <c r="P322" s="112"/>
      <c r="Q322" s="83"/>
      <c r="R322" s="18"/>
      <c r="W322" s="16">
        <f t="shared" si="141"/>
        <v>0</v>
      </c>
    </row>
    <row r="323" spans="1:23" ht="15.6" hidden="1" customHeight="1" x14ac:dyDescent="0.3">
      <c r="A323" s="75"/>
      <c r="B323" s="97"/>
      <c r="C323" s="63"/>
      <c r="D323" s="63"/>
      <c r="E323" s="60"/>
      <c r="F323" s="63" t="s">
        <v>24</v>
      </c>
      <c r="G323" s="110"/>
      <c r="H323" s="111"/>
      <c r="I323" s="111"/>
      <c r="J323" s="111"/>
      <c r="K323" s="111"/>
      <c r="L323" s="111"/>
      <c r="M323" s="111"/>
      <c r="N323" s="111"/>
      <c r="O323" s="111"/>
      <c r="P323" s="112"/>
      <c r="Q323" s="83"/>
      <c r="R323" s="18"/>
      <c r="W323" s="16">
        <f t="shared" si="141"/>
        <v>0</v>
      </c>
    </row>
    <row r="324" spans="1:23" ht="15.6" hidden="1" customHeight="1" x14ac:dyDescent="0.3">
      <c r="A324" s="75"/>
      <c r="B324" s="97"/>
      <c r="C324" s="63"/>
      <c r="D324" s="63"/>
      <c r="E324" s="61"/>
      <c r="F324" s="63" t="s">
        <v>25</v>
      </c>
      <c r="G324" s="110"/>
      <c r="H324" s="111"/>
      <c r="I324" s="111"/>
      <c r="J324" s="111"/>
      <c r="K324" s="111"/>
      <c r="L324" s="111"/>
      <c r="M324" s="111"/>
      <c r="N324" s="111"/>
      <c r="O324" s="111"/>
      <c r="P324" s="112"/>
      <c r="Q324" s="83"/>
      <c r="R324" s="18"/>
      <c r="W324" s="16">
        <f t="shared" si="141"/>
        <v>0</v>
      </c>
    </row>
    <row r="325" spans="1:23" ht="15.6" hidden="1" customHeight="1" x14ac:dyDescent="0.3">
      <c r="A325" s="75"/>
      <c r="B325" s="97"/>
      <c r="C325" s="63"/>
      <c r="D325" s="63"/>
      <c r="E325" s="62"/>
      <c r="F325" s="63" t="s">
        <v>26</v>
      </c>
      <c r="G325" s="113"/>
      <c r="H325" s="114"/>
      <c r="I325" s="114"/>
      <c r="J325" s="114"/>
      <c r="K325" s="114"/>
      <c r="L325" s="114"/>
      <c r="M325" s="114"/>
      <c r="N325" s="114"/>
      <c r="O325" s="114"/>
      <c r="P325" s="115"/>
      <c r="Q325" s="83"/>
      <c r="R325" s="18"/>
      <c r="W325" s="16">
        <f t="shared" si="141"/>
        <v>0</v>
      </c>
    </row>
    <row r="326" spans="1:23" s="13" customFormat="1" ht="15.6" x14ac:dyDescent="0.3">
      <c r="A326" s="75"/>
      <c r="B326" s="97" t="s">
        <v>109</v>
      </c>
      <c r="C326" s="79" t="s">
        <v>65</v>
      </c>
      <c r="D326" s="60"/>
      <c r="E326" s="79"/>
      <c r="F326" s="63" t="s">
        <v>18</v>
      </c>
      <c r="G326" s="72">
        <f>SUM(G327:G332)</f>
        <v>800</v>
      </c>
      <c r="H326" s="72">
        <f t="shared" ref="H326:P326" si="143">SUM(H327:H332)</f>
        <v>0</v>
      </c>
      <c r="I326" s="72">
        <f t="shared" si="143"/>
        <v>600</v>
      </c>
      <c r="J326" s="72">
        <f t="shared" si="143"/>
        <v>0</v>
      </c>
      <c r="K326" s="72">
        <f t="shared" si="143"/>
        <v>100</v>
      </c>
      <c r="L326" s="72">
        <f t="shared" si="143"/>
        <v>0</v>
      </c>
      <c r="M326" s="72">
        <f t="shared" si="143"/>
        <v>100</v>
      </c>
      <c r="N326" s="72">
        <f t="shared" si="143"/>
        <v>0</v>
      </c>
      <c r="O326" s="72">
        <f t="shared" si="143"/>
        <v>0</v>
      </c>
      <c r="P326" s="72">
        <f t="shared" si="143"/>
        <v>0</v>
      </c>
      <c r="Q326" s="83"/>
      <c r="R326" s="18"/>
      <c r="W326" s="16">
        <f t="shared" si="141"/>
        <v>600</v>
      </c>
    </row>
    <row r="327" spans="1:23" s="6" customFormat="1" ht="39" customHeight="1" x14ac:dyDescent="0.3">
      <c r="A327" s="75"/>
      <c r="B327" s="97"/>
      <c r="C327" s="80"/>
      <c r="D327" s="61"/>
      <c r="E327" s="80"/>
      <c r="F327" s="63" t="s">
        <v>20</v>
      </c>
      <c r="G327" s="72">
        <f>I327+K327+M327+O327</f>
        <v>800</v>
      </c>
      <c r="H327" s="72">
        <f>J327+L327+N327+P327</f>
        <v>0</v>
      </c>
      <c r="I327" s="72">
        <f>600+J327</f>
        <v>600</v>
      </c>
      <c r="J327" s="72">
        <v>0</v>
      </c>
      <c r="K327" s="72">
        <v>100</v>
      </c>
      <c r="L327" s="72">
        <v>0</v>
      </c>
      <c r="M327" s="72">
        <v>100</v>
      </c>
      <c r="N327" s="72">
        <v>0</v>
      </c>
      <c r="O327" s="72">
        <v>0</v>
      </c>
      <c r="P327" s="72">
        <f>O327</f>
        <v>0</v>
      </c>
      <c r="Q327" s="83"/>
      <c r="R327" s="37"/>
      <c r="W327" s="16">
        <f t="shared" si="141"/>
        <v>600</v>
      </c>
    </row>
    <row r="328" spans="1:23" ht="52.5" customHeight="1" x14ac:dyDescent="0.3">
      <c r="A328" s="75"/>
      <c r="B328" s="97"/>
      <c r="C328" s="81"/>
      <c r="D328" s="62"/>
      <c r="E328" s="81"/>
      <c r="F328" s="63" t="s">
        <v>22</v>
      </c>
      <c r="G328" s="107" t="s">
        <v>110</v>
      </c>
      <c r="H328" s="108"/>
      <c r="I328" s="108"/>
      <c r="J328" s="108"/>
      <c r="K328" s="108"/>
      <c r="L328" s="108"/>
      <c r="M328" s="108"/>
      <c r="N328" s="108"/>
      <c r="O328" s="108"/>
      <c r="P328" s="109"/>
      <c r="Q328" s="83"/>
      <c r="R328" s="18"/>
      <c r="W328" s="16">
        <f t="shared" si="141"/>
        <v>0</v>
      </c>
    </row>
    <row r="329" spans="1:23" ht="15.6" hidden="1" customHeight="1" x14ac:dyDescent="0.3">
      <c r="A329" s="75"/>
      <c r="B329" s="97"/>
      <c r="C329" s="63"/>
      <c r="D329" s="63"/>
      <c r="E329" s="63"/>
      <c r="F329" s="63" t="s">
        <v>23</v>
      </c>
      <c r="G329" s="110"/>
      <c r="H329" s="111"/>
      <c r="I329" s="111"/>
      <c r="J329" s="111"/>
      <c r="K329" s="111"/>
      <c r="L329" s="111"/>
      <c r="M329" s="111"/>
      <c r="N329" s="111"/>
      <c r="O329" s="111"/>
      <c r="P329" s="112"/>
      <c r="Q329" s="83"/>
      <c r="R329" s="18"/>
      <c r="W329" s="16">
        <f t="shared" si="141"/>
        <v>0</v>
      </c>
    </row>
    <row r="330" spans="1:23" ht="15.6" hidden="1" customHeight="1" x14ac:dyDescent="0.3">
      <c r="A330" s="75"/>
      <c r="B330" s="97"/>
      <c r="C330" s="63"/>
      <c r="D330" s="63"/>
      <c r="E330" s="60"/>
      <c r="F330" s="63" t="s">
        <v>24</v>
      </c>
      <c r="G330" s="110"/>
      <c r="H330" s="111"/>
      <c r="I330" s="111"/>
      <c r="J330" s="111"/>
      <c r="K330" s="111"/>
      <c r="L330" s="111"/>
      <c r="M330" s="111"/>
      <c r="N330" s="111"/>
      <c r="O330" s="111"/>
      <c r="P330" s="112"/>
      <c r="Q330" s="83"/>
      <c r="R330" s="18"/>
      <c r="W330" s="16">
        <f t="shared" si="141"/>
        <v>0</v>
      </c>
    </row>
    <row r="331" spans="1:23" ht="15.6" hidden="1" customHeight="1" x14ac:dyDescent="0.3">
      <c r="A331" s="75"/>
      <c r="B331" s="97"/>
      <c r="C331" s="63"/>
      <c r="D331" s="63"/>
      <c r="E331" s="61"/>
      <c r="F331" s="63" t="s">
        <v>25</v>
      </c>
      <c r="G331" s="110"/>
      <c r="H331" s="111"/>
      <c r="I331" s="111"/>
      <c r="J331" s="111"/>
      <c r="K331" s="111"/>
      <c r="L331" s="111"/>
      <c r="M331" s="111"/>
      <c r="N331" s="111"/>
      <c r="O331" s="111"/>
      <c r="P331" s="112"/>
      <c r="Q331" s="83"/>
      <c r="R331" s="18"/>
      <c r="W331" s="16">
        <f t="shared" si="141"/>
        <v>0</v>
      </c>
    </row>
    <row r="332" spans="1:23" ht="15.6" hidden="1" customHeight="1" x14ac:dyDescent="0.3">
      <c r="A332" s="75"/>
      <c r="B332" s="97"/>
      <c r="C332" s="63"/>
      <c r="D332" s="63"/>
      <c r="E332" s="62"/>
      <c r="F332" s="63" t="s">
        <v>26</v>
      </c>
      <c r="G332" s="113"/>
      <c r="H332" s="114"/>
      <c r="I332" s="114"/>
      <c r="J332" s="114"/>
      <c r="K332" s="114"/>
      <c r="L332" s="114"/>
      <c r="M332" s="114"/>
      <c r="N332" s="114"/>
      <c r="O332" s="114"/>
      <c r="P332" s="115"/>
      <c r="Q332" s="83"/>
      <c r="R332" s="18"/>
      <c r="W332" s="16">
        <f t="shared" si="141"/>
        <v>0</v>
      </c>
    </row>
    <row r="333" spans="1:23" s="13" customFormat="1" ht="15.6" x14ac:dyDescent="0.3">
      <c r="A333" s="75"/>
      <c r="B333" s="97" t="s">
        <v>111</v>
      </c>
      <c r="C333" s="79" t="s">
        <v>65</v>
      </c>
      <c r="D333" s="60"/>
      <c r="E333" s="79"/>
      <c r="F333" s="63" t="s">
        <v>18</v>
      </c>
      <c r="G333" s="72">
        <f t="shared" ref="G333:P333" si="144">SUM(G334:G339)</f>
        <v>1940</v>
      </c>
      <c r="H333" s="72">
        <f t="shared" si="144"/>
        <v>940</v>
      </c>
      <c r="I333" s="72">
        <f t="shared" si="144"/>
        <v>1690</v>
      </c>
      <c r="J333" s="72">
        <f t="shared" si="144"/>
        <v>890</v>
      </c>
      <c r="K333" s="72">
        <f t="shared" si="144"/>
        <v>0</v>
      </c>
      <c r="L333" s="72">
        <f t="shared" si="144"/>
        <v>0</v>
      </c>
      <c r="M333" s="72">
        <f t="shared" si="144"/>
        <v>200</v>
      </c>
      <c r="N333" s="72">
        <f t="shared" si="144"/>
        <v>0</v>
      </c>
      <c r="O333" s="72">
        <f t="shared" si="144"/>
        <v>50</v>
      </c>
      <c r="P333" s="72">
        <f t="shared" si="144"/>
        <v>50</v>
      </c>
      <c r="Q333" s="83"/>
      <c r="R333" s="18"/>
      <c r="W333" s="16">
        <f t="shared" si="141"/>
        <v>800</v>
      </c>
    </row>
    <row r="334" spans="1:23" s="6" customFormat="1" ht="24" customHeight="1" x14ac:dyDescent="0.3">
      <c r="A334" s="75"/>
      <c r="B334" s="97"/>
      <c r="C334" s="80"/>
      <c r="D334" s="61"/>
      <c r="E334" s="80"/>
      <c r="F334" s="63" t="s">
        <v>20</v>
      </c>
      <c r="G334" s="72">
        <f>I334+K334+M334+O334</f>
        <v>1940</v>
      </c>
      <c r="H334" s="72">
        <f>J334+L334+N334+P334</f>
        <v>940</v>
      </c>
      <c r="I334" s="72">
        <f>800+J334</f>
        <v>1690</v>
      </c>
      <c r="J334" s="72">
        <f>890</f>
        <v>890</v>
      </c>
      <c r="K334" s="72">
        <v>0</v>
      </c>
      <c r="L334" s="72">
        <v>0</v>
      </c>
      <c r="M334" s="72">
        <f>200</f>
        <v>200</v>
      </c>
      <c r="N334" s="72">
        <v>0</v>
      </c>
      <c r="O334" s="72">
        <v>50</v>
      </c>
      <c r="P334" s="72">
        <v>50</v>
      </c>
      <c r="Q334" s="83"/>
      <c r="R334" s="37"/>
      <c r="W334" s="16">
        <f t="shared" si="141"/>
        <v>800</v>
      </c>
    </row>
    <row r="335" spans="1:23" ht="40.5" customHeight="1" x14ac:dyDescent="0.3">
      <c r="A335" s="75"/>
      <c r="B335" s="97"/>
      <c r="C335" s="81"/>
      <c r="D335" s="62"/>
      <c r="E335" s="81"/>
      <c r="F335" s="63" t="s">
        <v>22</v>
      </c>
      <c r="G335" s="107" t="s">
        <v>110</v>
      </c>
      <c r="H335" s="108"/>
      <c r="I335" s="108"/>
      <c r="J335" s="108"/>
      <c r="K335" s="108"/>
      <c r="L335" s="108"/>
      <c r="M335" s="108"/>
      <c r="N335" s="108"/>
      <c r="O335" s="108"/>
      <c r="P335" s="109"/>
      <c r="Q335" s="83"/>
      <c r="R335" s="18"/>
      <c r="W335" s="16">
        <f t="shared" si="141"/>
        <v>0</v>
      </c>
    </row>
    <row r="336" spans="1:23" ht="15.6" hidden="1" customHeight="1" x14ac:dyDescent="0.3">
      <c r="A336" s="75"/>
      <c r="B336" s="97"/>
      <c r="C336" s="63"/>
      <c r="D336" s="63"/>
      <c r="E336" s="63"/>
      <c r="F336" s="63" t="s">
        <v>23</v>
      </c>
      <c r="G336" s="110"/>
      <c r="H336" s="111"/>
      <c r="I336" s="111"/>
      <c r="J336" s="111"/>
      <c r="K336" s="111"/>
      <c r="L336" s="111"/>
      <c r="M336" s="111"/>
      <c r="N336" s="111"/>
      <c r="O336" s="111"/>
      <c r="P336" s="112"/>
      <c r="Q336" s="83"/>
      <c r="R336" s="18"/>
      <c r="W336" s="16">
        <f t="shared" si="141"/>
        <v>0</v>
      </c>
    </row>
    <row r="337" spans="1:23" ht="15.6" hidden="1" customHeight="1" x14ac:dyDescent="0.3">
      <c r="A337" s="75"/>
      <c r="B337" s="97"/>
      <c r="C337" s="63"/>
      <c r="D337" s="63"/>
      <c r="E337" s="60"/>
      <c r="F337" s="63" t="s">
        <v>24</v>
      </c>
      <c r="G337" s="110"/>
      <c r="H337" s="111"/>
      <c r="I337" s="111"/>
      <c r="J337" s="111"/>
      <c r="K337" s="111"/>
      <c r="L337" s="111"/>
      <c r="M337" s="111"/>
      <c r="N337" s="111"/>
      <c r="O337" s="111"/>
      <c r="P337" s="112"/>
      <c r="Q337" s="83"/>
      <c r="R337" s="18"/>
      <c r="W337" s="16">
        <f t="shared" si="141"/>
        <v>0</v>
      </c>
    </row>
    <row r="338" spans="1:23" ht="15.6" hidden="1" customHeight="1" x14ac:dyDescent="0.3">
      <c r="A338" s="75"/>
      <c r="B338" s="97"/>
      <c r="C338" s="63"/>
      <c r="D338" s="63"/>
      <c r="E338" s="61"/>
      <c r="F338" s="63" t="s">
        <v>25</v>
      </c>
      <c r="G338" s="110"/>
      <c r="H338" s="111"/>
      <c r="I338" s="111"/>
      <c r="J338" s="111"/>
      <c r="K338" s="111"/>
      <c r="L338" s="111"/>
      <c r="M338" s="111"/>
      <c r="N338" s="111"/>
      <c r="O338" s="111"/>
      <c r="P338" s="112"/>
      <c r="Q338" s="83"/>
      <c r="R338" s="18"/>
      <c r="W338" s="16">
        <f t="shared" si="141"/>
        <v>0</v>
      </c>
    </row>
    <row r="339" spans="1:23" ht="15.6" hidden="1" customHeight="1" x14ac:dyDescent="0.3">
      <c r="A339" s="75"/>
      <c r="B339" s="97"/>
      <c r="C339" s="63"/>
      <c r="D339" s="63"/>
      <c r="E339" s="62"/>
      <c r="F339" s="63" t="s">
        <v>26</v>
      </c>
      <c r="G339" s="113"/>
      <c r="H339" s="114"/>
      <c r="I339" s="114"/>
      <c r="J339" s="114"/>
      <c r="K339" s="114"/>
      <c r="L339" s="114"/>
      <c r="M339" s="114"/>
      <c r="N339" s="114"/>
      <c r="O339" s="114"/>
      <c r="P339" s="115"/>
      <c r="Q339" s="83"/>
      <c r="R339" s="18"/>
      <c r="W339" s="16">
        <f t="shared" si="141"/>
        <v>0</v>
      </c>
    </row>
    <row r="340" spans="1:23" s="13" customFormat="1" ht="15.6" x14ac:dyDescent="0.3">
      <c r="A340" s="75"/>
      <c r="B340" s="97" t="s">
        <v>112</v>
      </c>
      <c r="C340" s="35"/>
      <c r="D340" s="79" t="s">
        <v>51</v>
      </c>
      <c r="E340" s="79" t="s">
        <v>89</v>
      </c>
      <c r="F340" s="63" t="s">
        <v>18</v>
      </c>
      <c r="G340" s="72">
        <f>SUM(G341:G351)</f>
        <v>11133.399999999998</v>
      </c>
      <c r="H340" s="72">
        <f t="shared" ref="H340:P340" si="145">SUM(H341:H351)</f>
        <v>2709.5</v>
      </c>
      <c r="I340" s="72">
        <f t="shared" si="145"/>
        <v>11058.199999999997</v>
      </c>
      <c r="J340" s="72">
        <f t="shared" si="145"/>
        <v>2634.3</v>
      </c>
      <c r="K340" s="72">
        <f t="shared" si="145"/>
        <v>0</v>
      </c>
      <c r="L340" s="72">
        <f t="shared" si="145"/>
        <v>0</v>
      </c>
      <c r="M340" s="72">
        <f t="shared" si="145"/>
        <v>0</v>
      </c>
      <c r="N340" s="72">
        <f t="shared" si="145"/>
        <v>0</v>
      </c>
      <c r="O340" s="72">
        <f t="shared" si="145"/>
        <v>75.2</v>
      </c>
      <c r="P340" s="72">
        <f t="shared" si="145"/>
        <v>75.2</v>
      </c>
      <c r="Q340" s="83"/>
      <c r="R340" s="18"/>
      <c r="W340" s="16">
        <f t="shared" si="141"/>
        <v>8423.8999999999978</v>
      </c>
    </row>
    <row r="341" spans="1:23" s="6" customFormat="1" ht="39.6" x14ac:dyDescent="0.3">
      <c r="A341" s="75"/>
      <c r="B341" s="97"/>
      <c r="C341" s="63" t="s">
        <v>54</v>
      </c>
      <c r="D341" s="80"/>
      <c r="E341" s="80"/>
      <c r="F341" s="63" t="s">
        <v>20</v>
      </c>
      <c r="G341" s="72">
        <f t="shared" ref="G341:H351" si="146">I341+K341+M341+O341</f>
        <v>362.1</v>
      </c>
      <c r="H341" s="72">
        <f t="shared" si="146"/>
        <v>248</v>
      </c>
      <c r="I341" s="72">
        <v>314.10000000000002</v>
      </c>
      <c r="J341" s="72">
        <v>200</v>
      </c>
      <c r="K341" s="72"/>
      <c r="L341" s="72">
        <v>0</v>
      </c>
      <c r="M341" s="72">
        <v>0</v>
      </c>
      <c r="N341" s="72">
        <v>0</v>
      </c>
      <c r="O341" s="72">
        <v>48</v>
      </c>
      <c r="P341" s="72">
        <f>O341</f>
        <v>48</v>
      </c>
      <c r="Q341" s="83"/>
      <c r="R341" s="37"/>
      <c r="W341" s="16">
        <f t="shared" si="141"/>
        <v>114.10000000000002</v>
      </c>
    </row>
    <row r="342" spans="1:23" ht="15.6" customHeight="1" x14ac:dyDescent="0.3">
      <c r="A342" s="75"/>
      <c r="B342" s="97"/>
      <c r="C342" s="80" t="s">
        <v>113</v>
      </c>
      <c r="D342" s="80"/>
      <c r="E342" s="80"/>
      <c r="F342" s="63" t="s">
        <v>22</v>
      </c>
      <c r="G342" s="72">
        <f t="shared" si="146"/>
        <v>1470.4</v>
      </c>
      <c r="H342" s="72">
        <f t="shared" si="146"/>
        <v>314.10000000000002</v>
      </c>
      <c r="I342" s="72">
        <f>314.1+1156.3</f>
        <v>1470.4</v>
      </c>
      <c r="J342" s="72">
        <v>314.10000000000002</v>
      </c>
      <c r="K342" s="72">
        <v>0</v>
      </c>
      <c r="L342" s="72">
        <v>0</v>
      </c>
      <c r="M342" s="72">
        <f t="shared" ref="M342:M346" si="147">1.2*M341</f>
        <v>0</v>
      </c>
      <c r="N342" s="72">
        <v>0</v>
      </c>
      <c r="O342" s="72">
        <v>0</v>
      </c>
      <c r="P342" s="72">
        <v>0</v>
      </c>
      <c r="Q342" s="83"/>
      <c r="R342" s="37"/>
      <c r="W342" s="16">
        <f t="shared" si="141"/>
        <v>1156.3000000000002</v>
      </c>
    </row>
    <row r="343" spans="1:23" ht="15.6" customHeight="1" x14ac:dyDescent="0.3">
      <c r="A343" s="75"/>
      <c r="B343" s="97"/>
      <c r="C343" s="80"/>
      <c r="D343" s="80"/>
      <c r="E343" s="80"/>
      <c r="F343" s="63" t="s">
        <v>23</v>
      </c>
      <c r="G343" s="72">
        <f t="shared" si="146"/>
        <v>314.10000000000002</v>
      </c>
      <c r="H343" s="72">
        <f t="shared" si="146"/>
        <v>314.10000000000002</v>
      </c>
      <c r="I343" s="72">
        <f>J343</f>
        <v>314.10000000000002</v>
      </c>
      <c r="J343" s="72">
        <v>314.10000000000002</v>
      </c>
      <c r="K343" s="72">
        <v>0</v>
      </c>
      <c r="L343" s="72">
        <v>0</v>
      </c>
      <c r="M343" s="72">
        <f t="shared" si="147"/>
        <v>0</v>
      </c>
      <c r="N343" s="72">
        <v>0</v>
      </c>
      <c r="O343" s="72">
        <v>0</v>
      </c>
      <c r="P343" s="72">
        <v>0</v>
      </c>
      <c r="Q343" s="83"/>
      <c r="R343" s="18"/>
      <c r="W343" s="16">
        <f t="shared" si="141"/>
        <v>0</v>
      </c>
    </row>
    <row r="344" spans="1:23" ht="15.6" x14ac:dyDescent="0.3">
      <c r="A344" s="75"/>
      <c r="B344" s="97"/>
      <c r="C344" s="80"/>
      <c r="D344" s="80"/>
      <c r="E344" s="80"/>
      <c r="F344" s="63" t="s">
        <v>24</v>
      </c>
      <c r="G344" s="72">
        <f t="shared" si="146"/>
        <v>314.10000000000002</v>
      </c>
      <c r="H344" s="72">
        <f t="shared" si="146"/>
        <v>0</v>
      </c>
      <c r="I344" s="72">
        <f t="shared" ref="I344:I351" si="148">I343</f>
        <v>314.10000000000002</v>
      </c>
      <c r="J344" s="72">
        <f>314.1-314.1</f>
        <v>0</v>
      </c>
      <c r="K344" s="72">
        <v>0</v>
      </c>
      <c r="L344" s="72">
        <v>0</v>
      </c>
      <c r="M344" s="72">
        <f t="shared" si="147"/>
        <v>0</v>
      </c>
      <c r="N344" s="72">
        <v>0</v>
      </c>
      <c r="O344" s="72">
        <v>0</v>
      </c>
      <c r="P344" s="72">
        <v>0</v>
      </c>
      <c r="Q344" s="83"/>
      <c r="R344" s="18"/>
      <c r="W344" s="16">
        <f t="shared" si="141"/>
        <v>314.10000000000002</v>
      </c>
    </row>
    <row r="345" spans="1:23" ht="15.6" x14ac:dyDescent="0.3">
      <c r="A345" s="75"/>
      <c r="B345" s="97"/>
      <c r="C345" s="80"/>
      <c r="D345" s="80"/>
      <c r="E345" s="80"/>
      <c r="F345" s="63" t="s">
        <v>25</v>
      </c>
      <c r="G345" s="72">
        <f t="shared" si="146"/>
        <v>329.5</v>
      </c>
      <c r="H345" s="72">
        <f t="shared" si="146"/>
        <v>329.5</v>
      </c>
      <c r="I345" s="72">
        <f t="shared" si="148"/>
        <v>314.10000000000002</v>
      </c>
      <c r="J345" s="72">
        <v>314.10000000000002</v>
      </c>
      <c r="K345" s="72">
        <v>0</v>
      </c>
      <c r="L345" s="72">
        <v>0</v>
      </c>
      <c r="M345" s="72">
        <f t="shared" si="147"/>
        <v>0</v>
      </c>
      <c r="N345" s="72">
        <v>0</v>
      </c>
      <c r="O345" s="72">
        <v>15.4</v>
      </c>
      <c r="P345" s="72">
        <v>15.4</v>
      </c>
      <c r="Q345" s="83"/>
      <c r="R345" s="18"/>
      <c r="W345" s="16">
        <f t="shared" si="141"/>
        <v>0</v>
      </c>
    </row>
    <row r="346" spans="1:23" ht="15.6" x14ac:dyDescent="0.3">
      <c r="A346" s="75"/>
      <c r="B346" s="97"/>
      <c r="C346" s="80"/>
      <c r="D346" s="80"/>
      <c r="E346" s="80"/>
      <c r="F346" s="63" t="s">
        <v>26</v>
      </c>
      <c r="G346" s="72">
        <f t="shared" si="146"/>
        <v>705.69999999999902</v>
      </c>
      <c r="H346" s="72">
        <f t="shared" si="146"/>
        <v>342</v>
      </c>
      <c r="I346" s="72">
        <f>I345+141.599999999999+250</f>
        <v>705.69999999999902</v>
      </c>
      <c r="J346" s="72">
        <v>342</v>
      </c>
      <c r="K346" s="72">
        <v>0</v>
      </c>
      <c r="L346" s="72">
        <v>0</v>
      </c>
      <c r="M346" s="72">
        <f t="shared" si="147"/>
        <v>0</v>
      </c>
      <c r="N346" s="72">
        <v>0</v>
      </c>
      <c r="O346" s="72">
        <v>0</v>
      </c>
      <c r="P346" s="72">
        <v>0</v>
      </c>
      <c r="Q346" s="83"/>
      <c r="R346" s="33"/>
      <c r="W346" s="16">
        <f t="shared" si="141"/>
        <v>363.69999999999902</v>
      </c>
    </row>
    <row r="347" spans="1:23" ht="15.6" x14ac:dyDescent="0.3">
      <c r="A347" s="75"/>
      <c r="B347" s="97"/>
      <c r="C347" s="80"/>
      <c r="D347" s="80"/>
      <c r="E347" s="80"/>
      <c r="F347" s="63" t="s">
        <v>27</v>
      </c>
      <c r="G347" s="72">
        <f t="shared" si="146"/>
        <v>717.49999999999898</v>
      </c>
      <c r="H347" s="72">
        <f t="shared" si="146"/>
        <v>241.8</v>
      </c>
      <c r="I347" s="72">
        <f t="shared" si="148"/>
        <v>705.69999999999902</v>
      </c>
      <c r="J347" s="72">
        <v>230</v>
      </c>
      <c r="K347" s="72">
        <v>0</v>
      </c>
      <c r="L347" s="72">
        <v>0</v>
      </c>
      <c r="M347" s="72">
        <v>0</v>
      </c>
      <c r="N347" s="72">
        <v>0</v>
      </c>
      <c r="O347" s="72">
        <v>11.8</v>
      </c>
      <c r="P347" s="72">
        <v>11.8</v>
      </c>
      <c r="Q347" s="83"/>
      <c r="R347" s="18"/>
      <c r="W347" s="16">
        <f t="shared" si="141"/>
        <v>475.69999999999902</v>
      </c>
    </row>
    <row r="348" spans="1:23" ht="15.6" x14ac:dyDescent="0.3">
      <c r="A348" s="75"/>
      <c r="B348" s="97"/>
      <c r="C348" s="80"/>
      <c r="D348" s="80"/>
      <c r="E348" s="80"/>
      <c r="F348" s="63" t="s">
        <v>28</v>
      </c>
      <c r="G348" s="72">
        <f t="shared" si="146"/>
        <v>1730</v>
      </c>
      <c r="H348" s="72">
        <f t="shared" si="146"/>
        <v>230</v>
      </c>
      <c r="I348" s="72">
        <f>1000+500+230</f>
        <v>1730</v>
      </c>
      <c r="J348" s="72">
        <v>230</v>
      </c>
      <c r="K348" s="72">
        <v>0</v>
      </c>
      <c r="L348" s="72">
        <v>0</v>
      </c>
      <c r="M348" s="72">
        <v>0</v>
      </c>
      <c r="N348" s="72">
        <v>0</v>
      </c>
      <c r="O348" s="72">
        <f>P348</f>
        <v>0</v>
      </c>
      <c r="P348" s="72">
        <v>0</v>
      </c>
      <c r="Q348" s="83"/>
      <c r="R348" s="18"/>
      <c r="W348" s="16">
        <f t="shared" si="141"/>
        <v>1500</v>
      </c>
    </row>
    <row r="349" spans="1:23" ht="15.6" x14ac:dyDescent="0.3">
      <c r="A349" s="75"/>
      <c r="B349" s="97"/>
      <c r="C349" s="80"/>
      <c r="D349" s="80"/>
      <c r="E349" s="80"/>
      <c r="F349" s="63" t="s">
        <v>29</v>
      </c>
      <c r="G349" s="72">
        <f t="shared" si="146"/>
        <v>1730</v>
      </c>
      <c r="H349" s="72">
        <f t="shared" si="146"/>
        <v>230</v>
      </c>
      <c r="I349" s="72">
        <f t="shared" si="148"/>
        <v>1730</v>
      </c>
      <c r="J349" s="72">
        <v>230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  <c r="Q349" s="83"/>
      <c r="R349" s="18"/>
      <c r="W349" s="16">
        <f t="shared" si="141"/>
        <v>1500</v>
      </c>
    </row>
    <row r="350" spans="1:23" ht="15.6" x14ac:dyDescent="0.3">
      <c r="A350" s="75"/>
      <c r="B350" s="97"/>
      <c r="C350" s="80"/>
      <c r="D350" s="80"/>
      <c r="E350" s="80"/>
      <c r="F350" s="63" t="s">
        <v>30</v>
      </c>
      <c r="G350" s="72">
        <f t="shared" si="146"/>
        <v>1730</v>
      </c>
      <c r="H350" s="72">
        <f t="shared" si="146"/>
        <v>230</v>
      </c>
      <c r="I350" s="72">
        <f t="shared" si="148"/>
        <v>1730</v>
      </c>
      <c r="J350" s="72">
        <v>230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  <c r="Q350" s="83"/>
      <c r="R350" s="18"/>
      <c r="W350" s="16">
        <f t="shared" si="141"/>
        <v>1500</v>
      </c>
    </row>
    <row r="351" spans="1:23" ht="15.6" x14ac:dyDescent="0.3">
      <c r="A351" s="76"/>
      <c r="B351" s="97"/>
      <c r="C351" s="81"/>
      <c r="D351" s="81"/>
      <c r="E351" s="81"/>
      <c r="F351" s="63" t="s">
        <v>31</v>
      </c>
      <c r="G351" s="72">
        <f t="shared" si="146"/>
        <v>1730</v>
      </c>
      <c r="H351" s="72">
        <f t="shared" si="146"/>
        <v>230</v>
      </c>
      <c r="I351" s="72">
        <f t="shared" si="148"/>
        <v>1730</v>
      </c>
      <c r="J351" s="72">
        <v>230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  <c r="Q351" s="83"/>
      <c r="R351" s="18"/>
      <c r="W351" s="16">
        <f t="shared" si="141"/>
        <v>1500</v>
      </c>
    </row>
    <row r="352" spans="1:23" s="13" customFormat="1" ht="15.75" customHeight="1" x14ac:dyDescent="0.3">
      <c r="A352" s="74"/>
      <c r="B352" s="86" t="s">
        <v>136</v>
      </c>
      <c r="C352" s="79"/>
      <c r="D352" s="79" t="s">
        <v>44</v>
      </c>
      <c r="E352" s="79" t="s">
        <v>114</v>
      </c>
      <c r="F352" s="63" t="s">
        <v>18</v>
      </c>
      <c r="G352" s="72">
        <f>SUM(G353:G363)</f>
        <v>18738.510000000002</v>
      </c>
      <c r="H352" s="72">
        <f t="shared" ref="H352:P352" si="149">SUM(H353:H363)</f>
        <v>18738.510000000002</v>
      </c>
      <c r="I352" s="72">
        <f t="shared" si="149"/>
        <v>18738.510000000002</v>
      </c>
      <c r="J352" s="72">
        <f t="shared" si="149"/>
        <v>18738.510000000002</v>
      </c>
      <c r="K352" s="72">
        <f t="shared" si="149"/>
        <v>0</v>
      </c>
      <c r="L352" s="72">
        <f t="shared" si="149"/>
        <v>0</v>
      </c>
      <c r="M352" s="72">
        <f t="shared" si="149"/>
        <v>0</v>
      </c>
      <c r="N352" s="72">
        <f t="shared" si="149"/>
        <v>0</v>
      </c>
      <c r="O352" s="72">
        <f t="shared" si="149"/>
        <v>0</v>
      </c>
      <c r="P352" s="72">
        <f t="shared" si="149"/>
        <v>0</v>
      </c>
      <c r="Q352" s="83" t="s">
        <v>115</v>
      </c>
      <c r="R352" s="18"/>
      <c r="W352" s="16">
        <f t="shared" si="141"/>
        <v>0</v>
      </c>
    </row>
    <row r="353" spans="1:25" s="6" customFormat="1" ht="15.6" customHeight="1" x14ac:dyDescent="0.3">
      <c r="A353" s="75"/>
      <c r="B353" s="86"/>
      <c r="C353" s="80"/>
      <c r="D353" s="80"/>
      <c r="E353" s="80"/>
      <c r="F353" s="63" t="s">
        <v>20</v>
      </c>
      <c r="G353" s="72">
        <f t="shared" ref="G353:G363" si="150">I353+K353+M353+O353</f>
        <v>0</v>
      </c>
      <c r="H353" s="72">
        <f t="shared" ref="H353:H363" si="151">J353+L353+N353+P353</f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  <c r="Q353" s="83"/>
      <c r="R353" s="37"/>
      <c r="W353" s="16">
        <f t="shared" si="141"/>
        <v>0</v>
      </c>
    </row>
    <row r="354" spans="1:25" ht="15.6" x14ac:dyDescent="0.3">
      <c r="A354" s="75"/>
      <c r="B354" s="86"/>
      <c r="C354" s="80"/>
      <c r="D354" s="80"/>
      <c r="E354" s="80"/>
      <c r="F354" s="63" t="s">
        <v>22</v>
      </c>
      <c r="G354" s="72">
        <f t="shared" si="150"/>
        <v>0</v>
      </c>
      <c r="H354" s="72">
        <f t="shared" si="151"/>
        <v>0</v>
      </c>
      <c r="I354" s="72">
        <v>0</v>
      </c>
      <c r="J354" s="72">
        <v>0</v>
      </c>
      <c r="K354" s="72">
        <v>0</v>
      </c>
      <c r="L354" s="72">
        <v>0</v>
      </c>
      <c r="M354" s="72">
        <v>0</v>
      </c>
      <c r="N354" s="72">
        <v>0</v>
      </c>
      <c r="O354" s="72">
        <v>0</v>
      </c>
      <c r="P354" s="72">
        <v>0</v>
      </c>
      <c r="Q354" s="83"/>
      <c r="R354" s="18"/>
      <c r="W354" s="16">
        <f t="shared" si="141"/>
        <v>0</v>
      </c>
    </row>
    <row r="355" spans="1:25" ht="15" customHeight="1" x14ac:dyDescent="0.3">
      <c r="A355" s="75"/>
      <c r="B355" s="86"/>
      <c r="C355" s="81"/>
      <c r="D355" s="80"/>
      <c r="E355" s="80"/>
      <c r="F355" s="63" t="s">
        <v>23</v>
      </c>
      <c r="G355" s="72">
        <f t="shared" si="150"/>
        <v>0</v>
      </c>
      <c r="H355" s="72">
        <f t="shared" si="151"/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0</v>
      </c>
      <c r="Q355" s="83"/>
      <c r="R355" s="18"/>
      <c r="W355" s="16">
        <f t="shared" si="141"/>
        <v>0</v>
      </c>
    </row>
    <row r="356" spans="1:25" ht="15.6" x14ac:dyDescent="0.3">
      <c r="A356" s="75"/>
      <c r="B356" s="86"/>
      <c r="C356" s="82" t="s">
        <v>116</v>
      </c>
      <c r="D356" s="80"/>
      <c r="E356" s="80"/>
      <c r="F356" s="63" t="s">
        <v>24</v>
      </c>
      <c r="G356" s="72">
        <f t="shared" si="150"/>
        <v>2297.6</v>
      </c>
      <c r="H356" s="72">
        <f t="shared" si="151"/>
        <v>2297.6</v>
      </c>
      <c r="I356" s="72">
        <v>2297.6</v>
      </c>
      <c r="J356" s="72">
        <f>I356</f>
        <v>2297.6</v>
      </c>
      <c r="K356" s="72">
        <v>0</v>
      </c>
      <c r="L356" s="72">
        <v>0</v>
      </c>
      <c r="M356" s="72">
        <f t="shared" ref="M356:M358" si="152">M355</f>
        <v>0</v>
      </c>
      <c r="N356" s="72">
        <v>0</v>
      </c>
      <c r="O356" s="72">
        <v>0</v>
      </c>
      <c r="P356" s="72">
        <v>0</v>
      </c>
      <c r="Q356" s="83"/>
      <c r="R356" s="18"/>
      <c r="W356" s="16">
        <f t="shared" si="141"/>
        <v>0</v>
      </c>
    </row>
    <row r="357" spans="1:25" ht="15.6" x14ac:dyDescent="0.3">
      <c r="A357" s="75"/>
      <c r="B357" s="86"/>
      <c r="C357" s="82"/>
      <c r="D357" s="80"/>
      <c r="E357" s="80"/>
      <c r="F357" s="63" t="s">
        <v>25</v>
      </c>
      <c r="G357" s="72">
        <f t="shared" si="150"/>
        <v>2660.5</v>
      </c>
      <c r="H357" s="72">
        <f t="shared" si="151"/>
        <v>2660.5</v>
      </c>
      <c r="I357" s="72">
        <f t="shared" ref="I357:I360" si="153">J357</f>
        <v>2660.5</v>
      </c>
      <c r="J357" s="72">
        <v>2660.5</v>
      </c>
      <c r="K357" s="72">
        <v>0</v>
      </c>
      <c r="L357" s="72">
        <v>0</v>
      </c>
      <c r="M357" s="72">
        <f t="shared" si="152"/>
        <v>0</v>
      </c>
      <c r="N357" s="72">
        <v>0</v>
      </c>
      <c r="O357" s="72">
        <v>0</v>
      </c>
      <c r="P357" s="72">
        <v>0</v>
      </c>
      <c r="Q357" s="83"/>
      <c r="R357" s="18"/>
      <c r="W357" s="16">
        <f t="shared" si="141"/>
        <v>0</v>
      </c>
      <c r="Y357" s="32"/>
    </row>
    <row r="358" spans="1:25" ht="15.6" x14ac:dyDescent="0.3">
      <c r="A358" s="75"/>
      <c r="B358" s="86"/>
      <c r="C358" s="82"/>
      <c r="D358" s="80"/>
      <c r="E358" s="80"/>
      <c r="F358" s="63" t="s">
        <v>26</v>
      </c>
      <c r="G358" s="72">
        <f t="shared" si="150"/>
        <v>2220.25</v>
      </c>
      <c r="H358" s="72">
        <f t="shared" si="151"/>
        <v>2220.25</v>
      </c>
      <c r="I358" s="72">
        <f t="shared" si="153"/>
        <v>2220.25</v>
      </c>
      <c r="J358" s="72">
        <v>2220.25</v>
      </c>
      <c r="K358" s="72">
        <v>0</v>
      </c>
      <c r="L358" s="72">
        <v>0</v>
      </c>
      <c r="M358" s="72">
        <f t="shared" si="152"/>
        <v>0</v>
      </c>
      <c r="N358" s="72">
        <v>0</v>
      </c>
      <c r="O358" s="72">
        <v>0</v>
      </c>
      <c r="P358" s="72">
        <v>0</v>
      </c>
      <c r="Q358" s="83"/>
      <c r="R358" s="18"/>
      <c r="W358" s="16">
        <f t="shared" si="141"/>
        <v>0</v>
      </c>
    </row>
    <row r="359" spans="1:25" ht="15.6" x14ac:dyDescent="0.3">
      <c r="A359" s="75"/>
      <c r="B359" s="86"/>
      <c r="C359" s="82"/>
      <c r="D359" s="80"/>
      <c r="E359" s="80"/>
      <c r="F359" s="63" t="s">
        <v>27</v>
      </c>
      <c r="G359" s="72">
        <f t="shared" si="150"/>
        <v>2672.1</v>
      </c>
      <c r="H359" s="72">
        <f t="shared" si="151"/>
        <v>2672.1</v>
      </c>
      <c r="I359" s="72">
        <v>2672.1</v>
      </c>
      <c r="J359" s="72">
        <f>I359</f>
        <v>2672.1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  <c r="P359" s="72">
        <v>0</v>
      </c>
      <c r="Q359" s="83"/>
      <c r="R359" s="18"/>
      <c r="W359" s="16">
        <f t="shared" si="141"/>
        <v>0</v>
      </c>
    </row>
    <row r="360" spans="1:25" ht="15.6" x14ac:dyDescent="0.3">
      <c r="A360" s="75"/>
      <c r="B360" s="86"/>
      <c r="C360" s="82"/>
      <c r="D360" s="80"/>
      <c r="E360" s="80"/>
      <c r="F360" s="63" t="s">
        <v>28</v>
      </c>
      <c r="G360" s="72">
        <f t="shared" si="150"/>
        <v>1987.7</v>
      </c>
      <c r="H360" s="72">
        <f t="shared" si="151"/>
        <v>1987.7</v>
      </c>
      <c r="I360" s="72">
        <f t="shared" si="153"/>
        <v>1987.7</v>
      </c>
      <c r="J360" s="72">
        <v>1987.7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  <c r="P360" s="72">
        <v>0</v>
      </c>
      <c r="Q360" s="83"/>
      <c r="R360" s="18"/>
      <c r="W360" s="16">
        <f t="shared" si="141"/>
        <v>0</v>
      </c>
    </row>
    <row r="361" spans="1:25" ht="15.6" x14ac:dyDescent="0.3">
      <c r="A361" s="75"/>
      <c r="B361" s="86"/>
      <c r="C361" s="82"/>
      <c r="D361" s="80"/>
      <c r="E361" s="80"/>
      <c r="F361" s="63" t="s">
        <v>29</v>
      </c>
      <c r="G361" s="72">
        <f t="shared" si="150"/>
        <v>2910.96</v>
      </c>
      <c r="H361" s="72">
        <f>J361+L361+N361+P361</f>
        <v>2910.96</v>
      </c>
      <c r="I361" s="72">
        <f>J361</f>
        <v>2910.96</v>
      </c>
      <c r="J361" s="72">
        <v>2910.96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  <c r="P361" s="72">
        <v>0</v>
      </c>
      <c r="Q361" s="83"/>
      <c r="R361" s="18"/>
      <c r="W361" s="16">
        <f t="shared" si="141"/>
        <v>0</v>
      </c>
    </row>
    <row r="362" spans="1:25" ht="15.6" x14ac:dyDescent="0.3">
      <c r="A362" s="75"/>
      <c r="B362" s="86"/>
      <c r="C362" s="82"/>
      <c r="D362" s="80"/>
      <c r="E362" s="80"/>
      <c r="F362" s="63" t="s">
        <v>30</v>
      </c>
      <c r="G362" s="72">
        <f t="shared" si="150"/>
        <v>1994.7</v>
      </c>
      <c r="H362" s="72">
        <f t="shared" si="151"/>
        <v>1994.7</v>
      </c>
      <c r="I362" s="72">
        <v>1994.7</v>
      </c>
      <c r="J362" s="72">
        <v>1994.7</v>
      </c>
      <c r="K362" s="72">
        <v>0</v>
      </c>
      <c r="L362" s="72">
        <v>0</v>
      </c>
      <c r="M362" s="72">
        <v>0</v>
      </c>
      <c r="N362" s="72">
        <v>0</v>
      </c>
      <c r="O362" s="72">
        <v>0</v>
      </c>
      <c r="P362" s="72">
        <v>0</v>
      </c>
      <c r="Q362" s="83"/>
      <c r="R362" s="18"/>
      <c r="W362" s="16">
        <f t="shared" si="141"/>
        <v>0</v>
      </c>
    </row>
    <row r="363" spans="1:25" ht="15.6" x14ac:dyDescent="0.3">
      <c r="A363" s="76"/>
      <c r="B363" s="87"/>
      <c r="C363" s="82"/>
      <c r="D363" s="81"/>
      <c r="E363" s="81"/>
      <c r="F363" s="63" t="s">
        <v>31</v>
      </c>
      <c r="G363" s="72">
        <f t="shared" si="150"/>
        <v>1994.7</v>
      </c>
      <c r="H363" s="72">
        <f t="shared" si="151"/>
        <v>1994.7</v>
      </c>
      <c r="I363" s="72">
        <f t="shared" ref="I363" si="154">I362</f>
        <v>1994.7</v>
      </c>
      <c r="J363" s="72">
        <v>1994.7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0</v>
      </c>
      <c r="Q363" s="83"/>
      <c r="R363" s="18"/>
      <c r="W363" s="16">
        <f t="shared" si="141"/>
        <v>0</v>
      </c>
    </row>
    <row r="364" spans="1:25" s="13" customFormat="1" ht="15.75" customHeight="1" x14ac:dyDescent="0.3">
      <c r="A364" s="74"/>
      <c r="B364" s="86" t="s">
        <v>135</v>
      </c>
      <c r="C364" s="79"/>
      <c r="D364" s="79" t="s">
        <v>44</v>
      </c>
      <c r="E364" s="82" t="s">
        <v>114</v>
      </c>
      <c r="F364" s="63" t="s">
        <v>18</v>
      </c>
      <c r="G364" s="72">
        <f>SUM(G365:G375)</f>
        <v>15119.400000000001</v>
      </c>
      <c r="H364" s="72">
        <f t="shared" ref="H364:P364" si="155">SUM(H365:H375)</f>
        <v>15119.400000000001</v>
      </c>
      <c r="I364" s="72">
        <f>SUM(I365:I375)</f>
        <v>15119.400000000001</v>
      </c>
      <c r="J364" s="72">
        <f t="shared" si="155"/>
        <v>15119.400000000001</v>
      </c>
      <c r="K364" s="72">
        <f t="shared" si="155"/>
        <v>0</v>
      </c>
      <c r="L364" s="72">
        <f t="shared" si="155"/>
        <v>0</v>
      </c>
      <c r="M364" s="72">
        <f t="shared" si="155"/>
        <v>0</v>
      </c>
      <c r="N364" s="72">
        <f t="shared" si="155"/>
        <v>0</v>
      </c>
      <c r="O364" s="72">
        <f t="shared" si="155"/>
        <v>0</v>
      </c>
      <c r="P364" s="72">
        <f t="shared" si="155"/>
        <v>0</v>
      </c>
      <c r="Q364" s="83" t="s">
        <v>117</v>
      </c>
      <c r="R364" s="18"/>
      <c r="W364" s="16">
        <f t="shared" si="141"/>
        <v>0</v>
      </c>
    </row>
    <row r="365" spans="1:25" s="6" customFormat="1" ht="15.6" x14ac:dyDescent="0.3">
      <c r="A365" s="75"/>
      <c r="B365" s="86"/>
      <c r="C365" s="80"/>
      <c r="D365" s="80"/>
      <c r="E365" s="82"/>
      <c r="F365" s="63" t="s">
        <v>20</v>
      </c>
      <c r="G365" s="72">
        <f t="shared" ref="G365:G375" si="156">I365+K365+M365+O365</f>
        <v>0</v>
      </c>
      <c r="H365" s="72">
        <f t="shared" ref="H365:H375" si="157">J365+L365+N365+P365</f>
        <v>0</v>
      </c>
      <c r="I365" s="72">
        <v>0</v>
      </c>
      <c r="J365" s="72">
        <v>0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  <c r="Q365" s="83"/>
      <c r="R365" s="37"/>
      <c r="W365" s="16">
        <f t="shared" si="141"/>
        <v>0</v>
      </c>
    </row>
    <row r="366" spans="1:25" ht="15.6" x14ac:dyDescent="0.3">
      <c r="A366" s="75"/>
      <c r="B366" s="86"/>
      <c r="C366" s="80"/>
      <c r="D366" s="80"/>
      <c r="E366" s="82"/>
      <c r="F366" s="63" t="s">
        <v>22</v>
      </c>
      <c r="G366" s="72">
        <f t="shared" si="156"/>
        <v>0</v>
      </c>
      <c r="H366" s="72">
        <f t="shared" si="157"/>
        <v>0</v>
      </c>
      <c r="I366" s="72">
        <v>0</v>
      </c>
      <c r="J366" s="72">
        <v>0</v>
      </c>
      <c r="K366" s="72">
        <v>0</v>
      </c>
      <c r="L366" s="72">
        <v>0</v>
      </c>
      <c r="M366" s="72">
        <v>0</v>
      </c>
      <c r="N366" s="72">
        <v>0</v>
      </c>
      <c r="O366" s="72">
        <v>0</v>
      </c>
      <c r="P366" s="72">
        <v>0</v>
      </c>
      <c r="Q366" s="83"/>
      <c r="R366" s="18"/>
      <c r="W366" s="16">
        <f t="shared" si="141"/>
        <v>0</v>
      </c>
    </row>
    <row r="367" spans="1:25" ht="15" customHeight="1" x14ac:dyDescent="0.3">
      <c r="A367" s="75"/>
      <c r="B367" s="86"/>
      <c r="C367" s="81"/>
      <c r="D367" s="80"/>
      <c r="E367" s="82"/>
      <c r="F367" s="63" t="s">
        <v>23</v>
      </c>
      <c r="G367" s="72">
        <f t="shared" si="156"/>
        <v>0</v>
      </c>
      <c r="H367" s="72">
        <f t="shared" si="157"/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  <c r="Q367" s="83"/>
      <c r="R367" s="18"/>
      <c r="W367" s="16">
        <f t="shared" si="141"/>
        <v>0</v>
      </c>
    </row>
    <row r="368" spans="1:25" ht="15.6" x14ac:dyDescent="0.3">
      <c r="A368" s="75"/>
      <c r="B368" s="86"/>
      <c r="C368" s="82" t="s">
        <v>116</v>
      </c>
      <c r="D368" s="80"/>
      <c r="E368" s="82"/>
      <c r="F368" s="63" t="s">
        <v>24</v>
      </c>
      <c r="G368" s="72">
        <f t="shared" si="156"/>
        <v>1997.8</v>
      </c>
      <c r="H368" s="72">
        <f t="shared" si="157"/>
        <v>1997.8</v>
      </c>
      <c r="I368" s="72">
        <v>1997.8</v>
      </c>
      <c r="J368" s="72">
        <f>I368</f>
        <v>1997.8</v>
      </c>
      <c r="K368" s="72">
        <v>0</v>
      </c>
      <c r="L368" s="72">
        <v>0</v>
      </c>
      <c r="M368" s="72">
        <f t="shared" ref="M368:M370" si="158">M367</f>
        <v>0</v>
      </c>
      <c r="N368" s="72">
        <v>0</v>
      </c>
      <c r="O368" s="72">
        <v>0</v>
      </c>
      <c r="P368" s="72">
        <v>0</v>
      </c>
      <c r="Q368" s="83"/>
      <c r="R368" s="18"/>
      <c r="W368" s="16">
        <f t="shared" si="141"/>
        <v>0</v>
      </c>
    </row>
    <row r="369" spans="1:23" ht="15.6" x14ac:dyDescent="0.3">
      <c r="A369" s="75"/>
      <c r="B369" s="86"/>
      <c r="C369" s="82"/>
      <c r="D369" s="80"/>
      <c r="E369" s="82"/>
      <c r="F369" s="63" t="s">
        <v>25</v>
      </c>
      <c r="G369" s="72">
        <f t="shared" si="156"/>
        <v>1962.1</v>
      </c>
      <c r="H369" s="72">
        <f t="shared" si="157"/>
        <v>1962.1</v>
      </c>
      <c r="I369" s="72">
        <v>1962.1</v>
      </c>
      <c r="J369" s="72">
        <v>1962.1</v>
      </c>
      <c r="K369" s="72">
        <v>0</v>
      </c>
      <c r="L369" s="72">
        <v>0</v>
      </c>
      <c r="M369" s="72">
        <f t="shared" si="158"/>
        <v>0</v>
      </c>
      <c r="N369" s="72">
        <v>0</v>
      </c>
      <c r="O369" s="72">
        <v>0</v>
      </c>
      <c r="P369" s="72">
        <v>0</v>
      </c>
      <c r="Q369" s="83"/>
      <c r="R369" s="18"/>
      <c r="W369" s="16">
        <f t="shared" si="141"/>
        <v>0</v>
      </c>
    </row>
    <row r="370" spans="1:23" ht="15.6" x14ac:dyDescent="0.3">
      <c r="A370" s="75"/>
      <c r="B370" s="86"/>
      <c r="C370" s="82"/>
      <c r="D370" s="80"/>
      <c r="E370" s="82"/>
      <c r="F370" s="63" t="s">
        <v>26</v>
      </c>
      <c r="G370" s="72">
        <f t="shared" si="156"/>
        <v>1970</v>
      </c>
      <c r="H370" s="72">
        <f t="shared" si="157"/>
        <v>1970</v>
      </c>
      <c r="I370" s="72">
        <f>J370</f>
        <v>1970</v>
      </c>
      <c r="J370" s="72">
        <v>1970</v>
      </c>
      <c r="K370" s="72">
        <v>0</v>
      </c>
      <c r="L370" s="72">
        <v>0</v>
      </c>
      <c r="M370" s="72">
        <f t="shared" si="158"/>
        <v>0</v>
      </c>
      <c r="N370" s="72">
        <v>0</v>
      </c>
      <c r="O370" s="72">
        <v>0</v>
      </c>
      <c r="P370" s="72">
        <v>0</v>
      </c>
      <c r="Q370" s="83"/>
      <c r="R370" s="18"/>
      <c r="W370" s="16">
        <f t="shared" si="141"/>
        <v>0</v>
      </c>
    </row>
    <row r="371" spans="1:23" ht="15.6" x14ac:dyDescent="0.3">
      <c r="A371" s="75"/>
      <c r="B371" s="86"/>
      <c r="C371" s="82"/>
      <c r="D371" s="80"/>
      <c r="E371" s="82"/>
      <c r="F371" s="63" t="s">
        <v>27</v>
      </c>
      <c r="G371" s="72">
        <f t="shared" si="156"/>
        <v>2033.8</v>
      </c>
      <c r="H371" s="72">
        <f t="shared" si="157"/>
        <v>2033.8</v>
      </c>
      <c r="I371" s="72">
        <v>2033.8</v>
      </c>
      <c r="J371" s="72">
        <f>I371</f>
        <v>2033.8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  <c r="Q371" s="83"/>
      <c r="R371" s="18"/>
      <c r="W371" s="16">
        <f t="shared" si="141"/>
        <v>0</v>
      </c>
    </row>
    <row r="372" spans="1:23" ht="15.6" x14ac:dyDescent="0.3">
      <c r="A372" s="75"/>
      <c r="B372" s="86"/>
      <c r="C372" s="82"/>
      <c r="D372" s="80"/>
      <c r="E372" s="82"/>
      <c r="F372" s="63" t="s">
        <v>28</v>
      </c>
      <c r="G372" s="72">
        <f t="shared" si="156"/>
        <v>1467.7</v>
      </c>
      <c r="H372" s="72">
        <f t="shared" si="157"/>
        <v>1467.7</v>
      </c>
      <c r="I372" s="72">
        <f t="shared" ref="I372:I373" si="159">J372</f>
        <v>1467.7</v>
      </c>
      <c r="J372" s="72">
        <v>1467.7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  <c r="P372" s="72">
        <v>0</v>
      </c>
      <c r="Q372" s="83"/>
      <c r="R372" s="18"/>
      <c r="W372" s="16">
        <f t="shared" si="141"/>
        <v>0</v>
      </c>
    </row>
    <row r="373" spans="1:23" ht="15.6" x14ac:dyDescent="0.3">
      <c r="A373" s="75"/>
      <c r="B373" s="86"/>
      <c r="C373" s="82"/>
      <c r="D373" s="80"/>
      <c r="E373" s="82"/>
      <c r="F373" s="63" t="s">
        <v>29</v>
      </c>
      <c r="G373" s="72">
        <f t="shared" si="156"/>
        <v>2864.6</v>
      </c>
      <c r="H373" s="72">
        <f t="shared" si="157"/>
        <v>2864.6</v>
      </c>
      <c r="I373" s="72">
        <f t="shared" si="159"/>
        <v>2864.6</v>
      </c>
      <c r="J373" s="72">
        <v>2864.6</v>
      </c>
      <c r="K373" s="72">
        <v>0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  <c r="Q373" s="83"/>
      <c r="R373" s="18"/>
      <c r="W373" s="16">
        <f t="shared" si="141"/>
        <v>0</v>
      </c>
    </row>
    <row r="374" spans="1:23" ht="15.6" x14ac:dyDescent="0.3">
      <c r="A374" s="75"/>
      <c r="B374" s="86"/>
      <c r="C374" s="82"/>
      <c r="D374" s="80"/>
      <c r="E374" s="82"/>
      <c r="F374" s="63" t="s">
        <v>30</v>
      </c>
      <c r="G374" s="72">
        <f t="shared" si="156"/>
        <v>1411.7</v>
      </c>
      <c r="H374" s="72">
        <f t="shared" si="157"/>
        <v>1411.7</v>
      </c>
      <c r="I374" s="72">
        <v>1411.7</v>
      </c>
      <c r="J374" s="72">
        <f>I374</f>
        <v>1411.7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83"/>
      <c r="R374" s="18"/>
      <c r="W374" s="16">
        <f t="shared" si="141"/>
        <v>0</v>
      </c>
    </row>
    <row r="375" spans="1:23" ht="15.6" x14ac:dyDescent="0.3">
      <c r="A375" s="76"/>
      <c r="B375" s="87"/>
      <c r="C375" s="82"/>
      <c r="D375" s="81"/>
      <c r="E375" s="82"/>
      <c r="F375" s="63" t="s">
        <v>31</v>
      </c>
      <c r="G375" s="72">
        <f t="shared" si="156"/>
        <v>1411.7</v>
      </c>
      <c r="H375" s="72">
        <f t="shared" si="157"/>
        <v>1411.7</v>
      </c>
      <c r="I375" s="72">
        <f t="shared" ref="I375" si="160">I374</f>
        <v>1411.7</v>
      </c>
      <c r="J375" s="72">
        <v>1411.7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  <c r="Q375" s="83"/>
      <c r="R375" s="18"/>
      <c r="W375" s="16">
        <f t="shared" si="141"/>
        <v>0</v>
      </c>
    </row>
    <row r="376" spans="1:23" s="13" customFormat="1" ht="15.75" customHeight="1" x14ac:dyDescent="0.3">
      <c r="A376" s="74"/>
      <c r="B376" s="86" t="s">
        <v>134</v>
      </c>
      <c r="C376" s="79"/>
      <c r="D376" s="79" t="s">
        <v>44</v>
      </c>
      <c r="E376" s="82" t="s">
        <v>114</v>
      </c>
      <c r="F376" s="63" t="s">
        <v>18</v>
      </c>
      <c r="G376" s="72">
        <f>SUM(G377:G387)</f>
        <v>16603</v>
      </c>
      <c r="H376" s="72">
        <f t="shared" ref="H376:P376" si="161">SUM(H377:H387)</f>
        <v>16603</v>
      </c>
      <c r="I376" s="72">
        <f t="shared" si="161"/>
        <v>16603</v>
      </c>
      <c r="J376" s="72">
        <f t="shared" si="161"/>
        <v>16603</v>
      </c>
      <c r="K376" s="72">
        <f t="shared" si="161"/>
        <v>0</v>
      </c>
      <c r="L376" s="72">
        <f t="shared" si="161"/>
        <v>0</v>
      </c>
      <c r="M376" s="72">
        <f t="shared" si="161"/>
        <v>0</v>
      </c>
      <c r="N376" s="72">
        <f t="shared" si="161"/>
        <v>0</v>
      </c>
      <c r="O376" s="72">
        <f t="shared" si="161"/>
        <v>0</v>
      </c>
      <c r="P376" s="72">
        <f t="shared" si="161"/>
        <v>0</v>
      </c>
      <c r="Q376" s="83" t="s">
        <v>118</v>
      </c>
      <c r="R376" s="18"/>
      <c r="W376" s="16">
        <f t="shared" si="141"/>
        <v>0</v>
      </c>
    </row>
    <row r="377" spans="1:23" s="6" customFormat="1" ht="15.6" x14ac:dyDescent="0.3">
      <c r="A377" s="75"/>
      <c r="B377" s="86"/>
      <c r="C377" s="80"/>
      <c r="D377" s="80"/>
      <c r="E377" s="82"/>
      <c r="F377" s="63" t="s">
        <v>20</v>
      </c>
      <c r="G377" s="72">
        <f t="shared" ref="G377:G387" si="162">I377+K377+M377+O377</f>
        <v>0</v>
      </c>
      <c r="H377" s="72">
        <f t="shared" ref="H377:H387" si="163">J377+L377+N377+P377</f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  <c r="Q377" s="83"/>
      <c r="R377" s="37"/>
      <c r="W377" s="16">
        <f t="shared" si="141"/>
        <v>0</v>
      </c>
    </row>
    <row r="378" spans="1:23" ht="15.6" x14ac:dyDescent="0.3">
      <c r="A378" s="75"/>
      <c r="B378" s="86"/>
      <c r="C378" s="80"/>
      <c r="D378" s="80"/>
      <c r="E378" s="82"/>
      <c r="F378" s="63" t="s">
        <v>22</v>
      </c>
      <c r="G378" s="72">
        <f t="shared" si="162"/>
        <v>0</v>
      </c>
      <c r="H378" s="72">
        <f t="shared" si="163"/>
        <v>0</v>
      </c>
      <c r="I378" s="72">
        <v>0</v>
      </c>
      <c r="J378" s="72">
        <v>0</v>
      </c>
      <c r="K378" s="72">
        <v>0</v>
      </c>
      <c r="L378" s="72">
        <v>0</v>
      </c>
      <c r="M378" s="72">
        <v>0</v>
      </c>
      <c r="N378" s="72">
        <v>0</v>
      </c>
      <c r="O378" s="72">
        <v>0</v>
      </c>
      <c r="P378" s="72">
        <v>0</v>
      </c>
      <c r="Q378" s="83"/>
      <c r="R378" s="18"/>
      <c r="W378" s="16">
        <f t="shared" si="141"/>
        <v>0</v>
      </c>
    </row>
    <row r="379" spans="1:23" ht="15" customHeight="1" x14ac:dyDescent="0.3">
      <c r="A379" s="75"/>
      <c r="B379" s="86"/>
      <c r="C379" s="81"/>
      <c r="D379" s="80"/>
      <c r="E379" s="82"/>
      <c r="F379" s="63" t="s">
        <v>23</v>
      </c>
      <c r="G379" s="72">
        <f t="shared" si="162"/>
        <v>0</v>
      </c>
      <c r="H379" s="72">
        <f t="shared" si="163"/>
        <v>0</v>
      </c>
      <c r="I379" s="72">
        <v>0</v>
      </c>
      <c r="J379" s="72">
        <v>0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  <c r="Q379" s="83"/>
      <c r="R379" s="18"/>
      <c r="W379" s="16">
        <f t="shared" si="141"/>
        <v>0</v>
      </c>
    </row>
    <row r="380" spans="1:23" ht="15.6" x14ac:dyDescent="0.3">
      <c r="A380" s="75"/>
      <c r="B380" s="86"/>
      <c r="C380" s="82" t="s">
        <v>116</v>
      </c>
      <c r="D380" s="80"/>
      <c r="E380" s="82"/>
      <c r="F380" s="63" t="s">
        <v>24</v>
      </c>
      <c r="G380" s="72">
        <f t="shared" si="162"/>
        <v>2479.3000000000002</v>
      </c>
      <c r="H380" s="72">
        <f t="shared" si="163"/>
        <v>2479.3000000000002</v>
      </c>
      <c r="I380" s="72">
        <v>2479.3000000000002</v>
      </c>
      <c r="J380" s="72">
        <f>I380</f>
        <v>2479.3000000000002</v>
      </c>
      <c r="K380" s="72">
        <v>0</v>
      </c>
      <c r="L380" s="72">
        <v>0</v>
      </c>
      <c r="M380" s="72">
        <f t="shared" ref="M380:M382" si="164">M379</f>
        <v>0</v>
      </c>
      <c r="N380" s="72">
        <v>0</v>
      </c>
      <c r="O380" s="72">
        <v>0</v>
      </c>
      <c r="P380" s="72">
        <v>0</v>
      </c>
      <c r="Q380" s="83"/>
      <c r="R380" s="18"/>
      <c r="W380" s="16">
        <f t="shared" si="141"/>
        <v>0</v>
      </c>
    </row>
    <row r="381" spans="1:23" ht="15.6" x14ac:dyDescent="0.3">
      <c r="A381" s="75"/>
      <c r="B381" s="86"/>
      <c r="C381" s="82"/>
      <c r="D381" s="80"/>
      <c r="E381" s="82"/>
      <c r="F381" s="63" t="s">
        <v>25</v>
      </c>
      <c r="G381" s="72">
        <f t="shared" si="162"/>
        <v>2923.1</v>
      </c>
      <c r="H381" s="72">
        <f t="shared" si="163"/>
        <v>2923.1</v>
      </c>
      <c r="I381" s="72">
        <f t="shared" ref="I381:I384" si="165">J381</f>
        <v>2923.1</v>
      </c>
      <c r="J381" s="72">
        <v>2923.1</v>
      </c>
      <c r="K381" s="72">
        <v>0</v>
      </c>
      <c r="L381" s="72">
        <v>0</v>
      </c>
      <c r="M381" s="72">
        <f t="shared" si="164"/>
        <v>0</v>
      </c>
      <c r="N381" s="72">
        <v>0</v>
      </c>
      <c r="O381" s="72">
        <v>0</v>
      </c>
      <c r="P381" s="72">
        <v>0</v>
      </c>
      <c r="Q381" s="83"/>
      <c r="R381" s="18"/>
      <c r="W381" s="16">
        <f t="shared" si="141"/>
        <v>0</v>
      </c>
    </row>
    <row r="382" spans="1:23" ht="15.6" x14ac:dyDescent="0.3">
      <c r="A382" s="75"/>
      <c r="B382" s="86"/>
      <c r="C382" s="82"/>
      <c r="D382" s="80"/>
      <c r="E382" s="82"/>
      <c r="F382" s="63" t="s">
        <v>26</v>
      </c>
      <c r="G382" s="72">
        <f t="shared" si="162"/>
        <v>2728</v>
      </c>
      <c r="H382" s="72">
        <f t="shared" si="163"/>
        <v>2728</v>
      </c>
      <c r="I382" s="72">
        <f t="shared" si="165"/>
        <v>2728</v>
      </c>
      <c r="J382" s="72">
        <v>2728</v>
      </c>
      <c r="K382" s="72">
        <v>0</v>
      </c>
      <c r="L382" s="72">
        <v>0</v>
      </c>
      <c r="M382" s="72">
        <f t="shared" si="164"/>
        <v>0</v>
      </c>
      <c r="N382" s="72">
        <v>0</v>
      </c>
      <c r="O382" s="72">
        <v>0</v>
      </c>
      <c r="P382" s="72">
        <v>0</v>
      </c>
      <c r="Q382" s="83"/>
      <c r="R382" s="18"/>
      <c r="W382" s="16">
        <f t="shared" ref="W382:W457" si="166">I382-J382</f>
        <v>0</v>
      </c>
    </row>
    <row r="383" spans="1:23" ht="15.6" x14ac:dyDescent="0.3">
      <c r="A383" s="75"/>
      <c r="B383" s="86"/>
      <c r="C383" s="82"/>
      <c r="D383" s="80"/>
      <c r="E383" s="82"/>
      <c r="F383" s="63" t="s">
        <v>27</v>
      </c>
      <c r="G383" s="72">
        <f t="shared" si="162"/>
        <v>2249</v>
      </c>
      <c r="H383" s="72">
        <f t="shared" si="163"/>
        <v>2249</v>
      </c>
      <c r="I383" s="72">
        <v>2249</v>
      </c>
      <c r="J383" s="72">
        <f>I383</f>
        <v>2249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0</v>
      </c>
      <c r="Q383" s="83"/>
      <c r="R383" s="18"/>
      <c r="W383" s="16">
        <f t="shared" si="166"/>
        <v>0</v>
      </c>
    </row>
    <row r="384" spans="1:23" ht="15.6" x14ac:dyDescent="0.3">
      <c r="A384" s="75"/>
      <c r="B384" s="86"/>
      <c r="C384" s="82"/>
      <c r="D384" s="80"/>
      <c r="E384" s="82"/>
      <c r="F384" s="63" t="s">
        <v>28</v>
      </c>
      <c r="G384" s="72">
        <f t="shared" si="162"/>
        <v>1593.8</v>
      </c>
      <c r="H384" s="72">
        <f t="shared" si="163"/>
        <v>1593.8</v>
      </c>
      <c r="I384" s="72">
        <f t="shared" si="165"/>
        <v>1593.8</v>
      </c>
      <c r="J384" s="72">
        <v>1593.8</v>
      </c>
      <c r="K384" s="72">
        <v>0</v>
      </c>
      <c r="L384" s="72">
        <v>0</v>
      </c>
      <c r="M384" s="72">
        <v>0</v>
      </c>
      <c r="N384" s="72">
        <v>0</v>
      </c>
      <c r="O384" s="72">
        <v>0</v>
      </c>
      <c r="P384" s="72">
        <v>0</v>
      </c>
      <c r="Q384" s="83"/>
      <c r="R384" s="18"/>
      <c r="W384" s="16">
        <f t="shared" si="166"/>
        <v>0</v>
      </c>
    </row>
    <row r="385" spans="1:28" ht="15.6" x14ac:dyDescent="0.3">
      <c r="A385" s="75"/>
      <c r="B385" s="86"/>
      <c r="C385" s="82"/>
      <c r="D385" s="80"/>
      <c r="E385" s="82"/>
      <c r="F385" s="63" t="s">
        <v>29</v>
      </c>
      <c r="G385" s="72">
        <f t="shared" si="162"/>
        <v>1759.8</v>
      </c>
      <c r="H385" s="72">
        <f t="shared" si="163"/>
        <v>1759.8</v>
      </c>
      <c r="I385" s="72">
        <f>J385</f>
        <v>1759.8</v>
      </c>
      <c r="J385" s="72">
        <v>1759.8</v>
      </c>
      <c r="K385" s="72">
        <v>0</v>
      </c>
      <c r="L385" s="72">
        <v>0</v>
      </c>
      <c r="M385" s="72">
        <v>0</v>
      </c>
      <c r="N385" s="72">
        <v>0</v>
      </c>
      <c r="O385" s="72">
        <v>0</v>
      </c>
      <c r="P385" s="72">
        <v>0</v>
      </c>
      <c r="Q385" s="83"/>
      <c r="R385" s="18"/>
      <c r="W385" s="16">
        <f t="shared" si="166"/>
        <v>0</v>
      </c>
    </row>
    <row r="386" spans="1:28" ht="15.6" x14ac:dyDescent="0.3">
      <c r="A386" s="75"/>
      <c r="B386" s="86"/>
      <c r="C386" s="82"/>
      <c r="D386" s="80"/>
      <c r="E386" s="82"/>
      <c r="F386" s="63" t="s">
        <v>30</v>
      </c>
      <c r="G386" s="72">
        <f t="shared" si="162"/>
        <v>1435</v>
      </c>
      <c r="H386" s="72">
        <f t="shared" si="163"/>
        <v>1435</v>
      </c>
      <c r="I386" s="72">
        <v>1435</v>
      </c>
      <c r="J386" s="72">
        <f>I386</f>
        <v>1435</v>
      </c>
      <c r="K386" s="72">
        <v>0</v>
      </c>
      <c r="L386" s="72">
        <v>0</v>
      </c>
      <c r="M386" s="72">
        <v>0</v>
      </c>
      <c r="N386" s="72">
        <v>0</v>
      </c>
      <c r="O386" s="72">
        <v>0</v>
      </c>
      <c r="P386" s="72">
        <v>0</v>
      </c>
      <c r="Q386" s="83"/>
      <c r="R386" s="18"/>
      <c r="W386" s="16">
        <f t="shared" si="166"/>
        <v>0</v>
      </c>
    </row>
    <row r="387" spans="1:28" ht="15.6" x14ac:dyDescent="0.3">
      <c r="A387" s="76"/>
      <c r="B387" s="87"/>
      <c r="C387" s="82"/>
      <c r="D387" s="81"/>
      <c r="E387" s="82"/>
      <c r="F387" s="63" t="s">
        <v>31</v>
      </c>
      <c r="G387" s="72">
        <f t="shared" si="162"/>
        <v>1435</v>
      </c>
      <c r="H387" s="72">
        <f t="shared" si="163"/>
        <v>1435</v>
      </c>
      <c r="I387" s="72">
        <f t="shared" ref="I387" si="167">I386</f>
        <v>1435</v>
      </c>
      <c r="J387" s="72">
        <v>1435</v>
      </c>
      <c r="K387" s="72">
        <v>0</v>
      </c>
      <c r="L387" s="72">
        <v>0</v>
      </c>
      <c r="M387" s="72">
        <v>0</v>
      </c>
      <c r="N387" s="72">
        <v>0</v>
      </c>
      <c r="O387" s="72">
        <v>0</v>
      </c>
      <c r="P387" s="72">
        <v>0</v>
      </c>
      <c r="Q387" s="83"/>
      <c r="R387" s="18"/>
      <c r="W387" s="16">
        <f t="shared" si="166"/>
        <v>0</v>
      </c>
    </row>
    <row r="388" spans="1:28" s="13" customFormat="1" ht="15.75" customHeight="1" x14ac:dyDescent="0.3">
      <c r="A388" s="74"/>
      <c r="B388" s="86" t="s">
        <v>133</v>
      </c>
      <c r="C388" s="79"/>
      <c r="D388" s="79" t="s">
        <v>44</v>
      </c>
      <c r="E388" s="82" t="s">
        <v>114</v>
      </c>
      <c r="F388" s="63" t="s">
        <v>18</v>
      </c>
      <c r="G388" s="72">
        <f>SUM(G389:G399)</f>
        <v>31365.699999999997</v>
      </c>
      <c r="H388" s="72">
        <f t="shared" ref="H388:P388" si="168">SUM(H389:H399)</f>
        <v>28949.299999999996</v>
      </c>
      <c r="I388" s="72">
        <f t="shared" si="168"/>
        <v>31365.699999999997</v>
      </c>
      <c r="J388" s="72">
        <f t="shared" si="168"/>
        <v>28949.299999999996</v>
      </c>
      <c r="K388" s="72">
        <f t="shared" si="168"/>
        <v>0</v>
      </c>
      <c r="L388" s="72">
        <f t="shared" si="168"/>
        <v>0</v>
      </c>
      <c r="M388" s="72">
        <f t="shared" si="168"/>
        <v>0</v>
      </c>
      <c r="N388" s="72">
        <f t="shared" si="168"/>
        <v>0</v>
      </c>
      <c r="O388" s="72">
        <f t="shared" si="168"/>
        <v>0</v>
      </c>
      <c r="P388" s="72">
        <f t="shared" si="168"/>
        <v>0</v>
      </c>
      <c r="Q388" s="83" t="s">
        <v>119</v>
      </c>
      <c r="R388" s="18"/>
      <c r="W388" s="16">
        <f t="shared" si="166"/>
        <v>2416.4000000000015</v>
      </c>
    </row>
    <row r="389" spans="1:28" s="6" customFormat="1" ht="15.6" x14ac:dyDescent="0.3">
      <c r="A389" s="75"/>
      <c r="B389" s="86"/>
      <c r="C389" s="80"/>
      <c r="D389" s="80"/>
      <c r="E389" s="82"/>
      <c r="F389" s="63" t="s">
        <v>20</v>
      </c>
      <c r="G389" s="72">
        <f t="shared" ref="G389:G399" si="169">I389+K389+M389+O389</f>
        <v>0</v>
      </c>
      <c r="H389" s="72">
        <f t="shared" ref="H389:H399" si="170">J389+L389+N389+P389</f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  <c r="Q389" s="83"/>
      <c r="R389" s="37"/>
      <c r="W389" s="16">
        <f t="shared" si="166"/>
        <v>0</v>
      </c>
    </row>
    <row r="390" spans="1:28" ht="15.6" x14ac:dyDescent="0.3">
      <c r="A390" s="75"/>
      <c r="B390" s="86"/>
      <c r="C390" s="80"/>
      <c r="D390" s="80"/>
      <c r="E390" s="82"/>
      <c r="F390" s="63" t="s">
        <v>22</v>
      </c>
      <c r="G390" s="72">
        <f t="shared" si="169"/>
        <v>0</v>
      </c>
      <c r="H390" s="72">
        <f t="shared" si="170"/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  <c r="Q390" s="83"/>
      <c r="R390" s="18"/>
      <c r="W390" s="16">
        <f t="shared" si="166"/>
        <v>0</v>
      </c>
    </row>
    <row r="391" spans="1:28" ht="15" customHeight="1" x14ac:dyDescent="0.3">
      <c r="A391" s="75"/>
      <c r="B391" s="86"/>
      <c r="C391" s="81"/>
      <c r="D391" s="80"/>
      <c r="E391" s="82"/>
      <c r="F391" s="63" t="s">
        <v>23</v>
      </c>
      <c r="G391" s="72">
        <f t="shared" si="169"/>
        <v>0</v>
      </c>
      <c r="H391" s="72">
        <f t="shared" si="170"/>
        <v>0</v>
      </c>
      <c r="I391" s="72">
        <v>0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  <c r="P391" s="72">
        <v>0</v>
      </c>
      <c r="Q391" s="83"/>
      <c r="R391" s="18"/>
      <c r="W391" s="16">
        <f t="shared" si="166"/>
        <v>0</v>
      </c>
    </row>
    <row r="392" spans="1:28" ht="15.6" x14ac:dyDescent="0.3">
      <c r="A392" s="75"/>
      <c r="B392" s="86"/>
      <c r="C392" s="82" t="s">
        <v>116</v>
      </c>
      <c r="D392" s="80"/>
      <c r="E392" s="82"/>
      <c r="F392" s="63" t="s">
        <v>24</v>
      </c>
      <c r="G392" s="72">
        <f t="shared" si="169"/>
        <v>3652.7</v>
      </c>
      <c r="H392" s="72">
        <f t="shared" si="170"/>
        <v>3652.7</v>
      </c>
      <c r="I392" s="72">
        <v>3652.7</v>
      </c>
      <c r="J392" s="72">
        <f>I392</f>
        <v>3652.7</v>
      </c>
      <c r="K392" s="72">
        <v>0</v>
      </c>
      <c r="L392" s="72">
        <v>0</v>
      </c>
      <c r="M392" s="72">
        <f t="shared" ref="M392:M394" si="171">M391</f>
        <v>0</v>
      </c>
      <c r="N392" s="72">
        <v>0</v>
      </c>
      <c r="O392" s="72">
        <v>0</v>
      </c>
      <c r="P392" s="72">
        <v>0</v>
      </c>
      <c r="Q392" s="83"/>
      <c r="R392" s="18"/>
      <c r="W392" s="16">
        <f t="shared" si="166"/>
        <v>0</v>
      </c>
    </row>
    <row r="393" spans="1:28" ht="15.6" x14ac:dyDescent="0.3">
      <c r="A393" s="75"/>
      <c r="B393" s="86"/>
      <c r="C393" s="82"/>
      <c r="D393" s="80"/>
      <c r="E393" s="82"/>
      <c r="F393" s="63" t="s">
        <v>25</v>
      </c>
      <c r="G393" s="72">
        <f t="shared" si="169"/>
        <v>3887.9</v>
      </c>
      <c r="H393" s="72">
        <f t="shared" si="170"/>
        <v>3887.9</v>
      </c>
      <c r="I393" s="72">
        <f t="shared" ref="I393:I396" si="172">J393</f>
        <v>3887.9</v>
      </c>
      <c r="J393" s="72">
        <v>3887.9</v>
      </c>
      <c r="K393" s="72">
        <v>0</v>
      </c>
      <c r="L393" s="72">
        <v>0</v>
      </c>
      <c r="M393" s="72">
        <f t="shared" si="171"/>
        <v>0</v>
      </c>
      <c r="N393" s="72">
        <v>0</v>
      </c>
      <c r="O393" s="72">
        <v>0</v>
      </c>
      <c r="P393" s="72">
        <v>0</v>
      </c>
      <c r="Q393" s="83"/>
      <c r="R393" s="18"/>
      <c r="W393" s="16">
        <f t="shared" si="166"/>
        <v>0</v>
      </c>
    </row>
    <row r="394" spans="1:28" ht="15.6" x14ac:dyDescent="0.3">
      <c r="A394" s="75"/>
      <c r="B394" s="86"/>
      <c r="C394" s="82"/>
      <c r="D394" s="80"/>
      <c r="E394" s="82"/>
      <c r="F394" s="63" t="s">
        <v>26</v>
      </c>
      <c r="G394" s="72">
        <f t="shared" si="169"/>
        <v>3037.7</v>
      </c>
      <c r="H394" s="72">
        <f t="shared" si="170"/>
        <v>3037.7</v>
      </c>
      <c r="I394" s="72">
        <f t="shared" si="172"/>
        <v>3037.7</v>
      </c>
      <c r="J394" s="72">
        <v>3037.7</v>
      </c>
      <c r="K394" s="72">
        <v>0</v>
      </c>
      <c r="L394" s="72">
        <v>0</v>
      </c>
      <c r="M394" s="72">
        <f t="shared" si="171"/>
        <v>0</v>
      </c>
      <c r="N394" s="72">
        <v>0</v>
      </c>
      <c r="O394" s="72">
        <v>0</v>
      </c>
      <c r="P394" s="72">
        <v>0</v>
      </c>
      <c r="Q394" s="83"/>
      <c r="R394" s="18"/>
      <c r="W394" s="16">
        <f t="shared" si="166"/>
        <v>0</v>
      </c>
    </row>
    <row r="395" spans="1:28" ht="15.6" x14ac:dyDescent="0.3">
      <c r="A395" s="75"/>
      <c r="B395" s="86"/>
      <c r="C395" s="82"/>
      <c r="D395" s="80"/>
      <c r="E395" s="82"/>
      <c r="F395" s="63" t="s">
        <v>27</v>
      </c>
      <c r="G395" s="72">
        <f t="shared" si="169"/>
        <v>3821.8</v>
      </c>
      <c r="H395" s="72">
        <f t="shared" si="170"/>
        <v>3821.8</v>
      </c>
      <c r="I395" s="72">
        <v>3821.8</v>
      </c>
      <c r="J395" s="72">
        <f>I395</f>
        <v>3821.8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  <c r="Q395" s="83"/>
      <c r="R395" s="18"/>
      <c r="W395" s="16">
        <f t="shared" si="166"/>
        <v>0</v>
      </c>
    </row>
    <row r="396" spans="1:28" ht="15.6" x14ac:dyDescent="0.3">
      <c r="A396" s="75"/>
      <c r="B396" s="86"/>
      <c r="C396" s="82"/>
      <c r="D396" s="80"/>
      <c r="E396" s="82"/>
      <c r="F396" s="63" t="s">
        <v>28</v>
      </c>
      <c r="G396" s="72">
        <f t="shared" si="169"/>
        <v>4371.7</v>
      </c>
      <c r="H396" s="72">
        <f t="shared" si="170"/>
        <v>4371.7</v>
      </c>
      <c r="I396" s="72">
        <f t="shared" si="172"/>
        <v>4371.7</v>
      </c>
      <c r="J396" s="72">
        <v>4371.7</v>
      </c>
      <c r="K396" s="72">
        <v>0</v>
      </c>
      <c r="L396" s="72">
        <v>0</v>
      </c>
      <c r="M396" s="72">
        <v>0</v>
      </c>
      <c r="N396" s="72">
        <v>0</v>
      </c>
      <c r="O396" s="72">
        <v>0</v>
      </c>
      <c r="P396" s="72">
        <v>0</v>
      </c>
      <c r="Q396" s="83"/>
      <c r="R396" s="18"/>
      <c r="W396" s="16">
        <f t="shared" si="166"/>
        <v>0</v>
      </c>
    </row>
    <row r="397" spans="1:28" ht="15.6" x14ac:dyDescent="0.3">
      <c r="A397" s="75"/>
      <c r="B397" s="86"/>
      <c r="C397" s="82"/>
      <c r="D397" s="80"/>
      <c r="E397" s="82"/>
      <c r="F397" s="63" t="s">
        <v>29</v>
      </c>
      <c r="G397" s="72">
        <f t="shared" si="169"/>
        <v>5796.3</v>
      </c>
      <c r="H397" s="72">
        <f t="shared" si="170"/>
        <v>5796.3</v>
      </c>
      <c r="I397" s="72">
        <f>J397</f>
        <v>5796.3</v>
      </c>
      <c r="J397" s="72">
        <v>5796.3</v>
      </c>
      <c r="K397" s="72">
        <v>0</v>
      </c>
      <c r="L397" s="72">
        <v>0</v>
      </c>
      <c r="M397" s="72">
        <v>0</v>
      </c>
      <c r="N397" s="72">
        <v>0</v>
      </c>
      <c r="O397" s="72">
        <v>0</v>
      </c>
      <c r="P397" s="72">
        <v>0</v>
      </c>
      <c r="Q397" s="83"/>
      <c r="R397" s="18"/>
      <c r="W397" s="16">
        <f t="shared" si="166"/>
        <v>0</v>
      </c>
      <c r="AB397" s="32"/>
    </row>
    <row r="398" spans="1:28" ht="15.6" x14ac:dyDescent="0.3">
      <c r="A398" s="75"/>
      <c r="B398" s="86"/>
      <c r="C398" s="82"/>
      <c r="D398" s="80"/>
      <c r="E398" s="82"/>
      <c r="F398" s="63" t="s">
        <v>30</v>
      </c>
      <c r="G398" s="72">
        <f t="shared" si="169"/>
        <v>3398.8</v>
      </c>
      <c r="H398" s="72">
        <f t="shared" si="170"/>
        <v>2190.6</v>
      </c>
      <c r="I398" s="72">
        <v>3398.8</v>
      </c>
      <c r="J398" s="72">
        <v>2190.6</v>
      </c>
      <c r="K398" s="72">
        <v>0</v>
      </c>
      <c r="L398" s="72">
        <v>0</v>
      </c>
      <c r="M398" s="72">
        <v>0</v>
      </c>
      <c r="N398" s="72">
        <v>0</v>
      </c>
      <c r="O398" s="72">
        <v>0</v>
      </c>
      <c r="P398" s="72">
        <v>0</v>
      </c>
      <c r="Q398" s="83"/>
      <c r="R398" s="18"/>
      <c r="W398" s="16">
        <f t="shared" si="166"/>
        <v>1208.2000000000003</v>
      </c>
    </row>
    <row r="399" spans="1:28" ht="15.6" x14ac:dyDescent="0.3">
      <c r="A399" s="76"/>
      <c r="B399" s="87"/>
      <c r="C399" s="82"/>
      <c r="D399" s="81"/>
      <c r="E399" s="82"/>
      <c r="F399" s="63" t="s">
        <v>31</v>
      </c>
      <c r="G399" s="72">
        <f t="shared" si="169"/>
        <v>3398.8</v>
      </c>
      <c r="H399" s="72">
        <f t="shared" si="170"/>
        <v>2190.6</v>
      </c>
      <c r="I399" s="72">
        <v>3398.8</v>
      </c>
      <c r="J399" s="72">
        <v>2190.6</v>
      </c>
      <c r="K399" s="72">
        <v>0</v>
      </c>
      <c r="L399" s="72">
        <v>0</v>
      </c>
      <c r="M399" s="72">
        <v>0</v>
      </c>
      <c r="N399" s="72">
        <v>0</v>
      </c>
      <c r="O399" s="72">
        <v>0</v>
      </c>
      <c r="P399" s="72">
        <v>0</v>
      </c>
      <c r="Q399" s="83"/>
      <c r="R399" s="18"/>
      <c r="W399" s="16">
        <f t="shared" si="166"/>
        <v>1208.2000000000003</v>
      </c>
    </row>
    <row r="400" spans="1:28" ht="15.6" hidden="1" x14ac:dyDescent="0.3">
      <c r="A400" s="59"/>
      <c r="B400" s="67"/>
      <c r="C400" s="63"/>
      <c r="D400" s="63"/>
      <c r="E400" s="63"/>
      <c r="F400" s="63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94"/>
      <c r="R400" s="18"/>
      <c r="W400" s="16">
        <f t="shared" si="166"/>
        <v>0</v>
      </c>
    </row>
    <row r="401" spans="1:26" s="13" customFormat="1" ht="35.25" hidden="1" customHeight="1" x14ac:dyDescent="0.3">
      <c r="A401" s="74"/>
      <c r="B401" s="97"/>
      <c r="C401" s="35"/>
      <c r="D401" s="35"/>
      <c r="E401" s="63"/>
      <c r="F401" s="63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95"/>
      <c r="R401" s="18"/>
      <c r="W401" s="16">
        <f t="shared" si="166"/>
        <v>0</v>
      </c>
    </row>
    <row r="402" spans="1:26" s="13" customFormat="1" ht="15.75" hidden="1" customHeight="1" x14ac:dyDescent="0.3">
      <c r="A402" s="75"/>
      <c r="B402" s="97"/>
      <c r="C402" s="34"/>
      <c r="D402" s="34"/>
      <c r="E402" s="63"/>
      <c r="F402" s="63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95"/>
      <c r="R402" s="18"/>
      <c r="W402" s="16">
        <f t="shared" si="166"/>
        <v>0</v>
      </c>
    </row>
    <row r="403" spans="1:26" s="13" customFormat="1" ht="15.6" hidden="1" customHeight="1" x14ac:dyDescent="0.3">
      <c r="A403" s="75"/>
      <c r="B403" s="97"/>
      <c r="C403" s="34"/>
      <c r="D403" s="34"/>
      <c r="E403" s="63"/>
      <c r="F403" s="63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95"/>
      <c r="R403" s="18"/>
      <c r="W403" s="16">
        <f t="shared" si="166"/>
        <v>0</v>
      </c>
      <c r="Z403" s="20"/>
    </row>
    <row r="404" spans="1:26" s="13" customFormat="1" ht="15.6" hidden="1" x14ac:dyDescent="0.3">
      <c r="A404" s="75"/>
      <c r="B404" s="97"/>
      <c r="C404" s="82"/>
      <c r="D404" s="63"/>
      <c r="E404" s="63"/>
      <c r="F404" s="63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95"/>
      <c r="R404" s="18"/>
      <c r="W404" s="16">
        <f t="shared" si="166"/>
        <v>0</v>
      </c>
    </row>
    <row r="405" spans="1:26" s="13" customFormat="1" ht="15.6" hidden="1" x14ac:dyDescent="0.3">
      <c r="A405" s="75"/>
      <c r="B405" s="97"/>
      <c r="C405" s="82"/>
      <c r="D405" s="63"/>
      <c r="E405" s="35"/>
      <c r="F405" s="63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95"/>
      <c r="R405" s="18"/>
      <c r="W405" s="16">
        <f t="shared" si="166"/>
        <v>0</v>
      </c>
    </row>
    <row r="406" spans="1:26" s="13" customFormat="1" ht="15.6" hidden="1" x14ac:dyDescent="0.3">
      <c r="A406" s="75"/>
      <c r="B406" s="97"/>
      <c r="C406" s="82"/>
      <c r="D406" s="63"/>
      <c r="E406" s="34"/>
      <c r="F406" s="63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96"/>
      <c r="R406" s="18"/>
      <c r="W406" s="16">
        <f t="shared" si="166"/>
        <v>0</v>
      </c>
    </row>
    <row r="407" spans="1:26" s="13" customFormat="1" ht="15.75" hidden="1" customHeight="1" x14ac:dyDescent="0.3">
      <c r="A407" s="75"/>
      <c r="B407" s="86"/>
      <c r="C407" s="79"/>
      <c r="D407" s="60"/>
      <c r="E407" s="34"/>
      <c r="F407" s="63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83"/>
      <c r="R407" s="18"/>
      <c r="W407" s="16">
        <f t="shared" si="166"/>
        <v>0</v>
      </c>
    </row>
    <row r="408" spans="1:26" s="6" customFormat="1" ht="15.6" hidden="1" x14ac:dyDescent="0.3">
      <c r="A408" s="75"/>
      <c r="B408" s="86"/>
      <c r="C408" s="80"/>
      <c r="D408" s="61"/>
      <c r="E408" s="63"/>
      <c r="F408" s="63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83"/>
      <c r="R408" s="37"/>
      <c r="W408" s="16">
        <f t="shared" si="166"/>
        <v>0</v>
      </c>
    </row>
    <row r="409" spans="1:26" ht="15.6" hidden="1" x14ac:dyDescent="0.3">
      <c r="A409" s="75"/>
      <c r="B409" s="86"/>
      <c r="C409" s="80"/>
      <c r="D409" s="61"/>
      <c r="E409" s="63"/>
      <c r="F409" s="63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83"/>
      <c r="R409" s="18"/>
      <c r="W409" s="16">
        <f t="shared" si="166"/>
        <v>0</v>
      </c>
    </row>
    <row r="410" spans="1:26" ht="15" hidden="1" customHeight="1" x14ac:dyDescent="0.3">
      <c r="A410" s="75"/>
      <c r="B410" s="86"/>
      <c r="C410" s="81"/>
      <c r="D410" s="62"/>
      <c r="E410" s="63"/>
      <c r="F410" s="63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83"/>
      <c r="R410" s="18"/>
      <c r="W410" s="16">
        <f t="shared" si="166"/>
        <v>0</v>
      </c>
    </row>
    <row r="411" spans="1:26" ht="15.6" hidden="1" x14ac:dyDescent="0.3">
      <c r="A411" s="75"/>
      <c r="B411" s="86"/>
      <c r="C411" s="82"/>
      <c r="D411" s="63"/>
      <c r="E411" s="60"/>
      <c r="F411" s="63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83"/>
      <c r="R411" s="18"/>
      <c r="W411" s="16">
        <f t="shared" si="166"/>
        <v>0</v>
      </c>
    </row>
    <row r="412" spans="1:26" ht="15.6" hidden="1" x14ac:dyDescent="0.3">
      <c r="A412" s="75"/>
      <c r="B412" s="86"/>
      <c r="C412" s="82"/>
      <c r="D412" s="63"/>
      <c r="E412" s="61"/>
      <c r="F412" s="63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83"/>
      <c r="R412" s="18"/>
      <c r="W412" s="16">
        <f t="shared" si="166"/>
        <v>0</v>
      </c>
    </row>
    <row r="413" spans="1:26" ht="15.6" hidden="1" x14ac:dyDescent="0.3">
      <c r="A413" s="75"/>
      <c r="B413" s="87"/>
      <c r="C413" s="82"/>
      <c r="D413" s="63"/>
      <c r="E413" s="61"/>
      <c r="F413" s="63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83"/>
      <c r="R413" s="18"/>
      <c r="W413" s="16">
        <f t="shared" si="166"/>
        <v>0</v>
      </c>
    </row>
    <row r="414" spans="1:26" s="13" customFormat="1" ht="15.75" hidden="1" customHeight="1" x14ac:dyDescent="0.3">
      <c r="A414" s="75"/>
      <c r="B414" s="86"/>
      <c r="C414" s="79"/>
      <c r="D414" s="60"/>
      <c r="E414" s="62"/>
      <c r="F414" s="63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83"/>
      <c r="R414" s="18"/>
      <c r="W414" s="16">
        <f t="shared" si="166"/>
        <v>0</v>
      </c>
    </row>
    <row r="415" spans="1:26" s="6" customFormat="1" ht="15.6" hidden="1" x14ac:dyDescent="0.3">
      <c r="A415" s="75"/>
      <c r="B415" s="86"/>
      <c r="C415" s="80"/>
      <c r="D415" s="61"/>
      <c r="E415" s="63"/>
      <c r="F415" s="63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83"/>
      <c r="R415" s="37"/>
      <c r="W415" s="16">
        <f t="shared" si="166"/>
        <v>0</v>
      </c>
    </row>
    <row r="416" spans="1:26" ht="15.6" hidden="1" x14ac:dyDescent="0.3">
      <c r="A416" s="75"/>
      <c r="B416" s="86"/>
      <c r="C416" s="80"/>
      <c r="D416" s="61"/>
      <c r="E416" s="63"/>
      <c r="F416" s="63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83"/>
      <c r="R416" s="18"/>
      <c r="W416" s="16">
        <f t="shared" si="166"/>
        <v>0</v>
      </c>
    </row>
    <row r="417" spans="1:23" ht="15" hidden="1" customHeight="1" x14ac:dyDescent="0.3">
      <c r="A417" s="75"/>
      <c r="B417" s="86"/>
      <c r="C417" s="81"/>
      <c r="D417" s="62"/>
      <c r="E417" s="63"/>
      <c r="F417" s="63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83"/>
      <c r="R417" s="18"/>
      <c r="W417" s="16">
        <f t="shared" si="166"/>
        <v>0</v>
      </c>
    </row>
    <row r="418" spans="1:23" ht="15.6" hidden="1" x14ac:dyDescent="0.3">
      <c r="A418" s="75"/>
      <c r="B418" s="86"/>
      <c r="C418" s="82"/>
      <c r="D418" s="63"/>
      <c r="E418" s="60"/>
      <c r="F418" s="63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83"/>
      <c r="R418" s="18"/>
      <c r="W418" s="16">
        <f t="shared" si="166"/>
        <v>0</v>
      </c>
    </row>
    <row r="419" spans="1:23" ht="15.6" hidden="1" x14ac:dyDescent="0.3">
      <c r="A419" s="75"/>
      <c r="B419" s="86"/>
      <c r="C419" s="82"/>
      <c r="D419" s="63"/>
      <c r="E419" s="61"/>
      <c r="F419" s="63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83"/>
      <c r="R419" s="18"/>
      <c r="W419" s="16">
        <f t="shared" si="166"/>
        <v>0</v>
      </c>
    </row>
    <row r="420" spans="1:23" ht="15.6" hidden="1" x14ac:dyDescent="0.3">
      <c r="A420" s="75"/>
      <c r="B420" s="87"/>
      <c r="C420" s="82"/>
      <c r="D420" s="63"/>
      <c r="E420" s="61"/>
      <c r="F420" s="63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83"/>
      <c r="R420" s="18"/>
      <c r="W420" s="16">
        <f t="shared" si="166"/>
        <v>0</v>
      </c>
    </row>
    <row r="421" spans="1:23" s="13" customFormat="1" ht="15.75" hidden="1" customHeight="1" x14ac:dyDescent="0.3">
      <c r="A421" s="75"/>
      <c r="B421" s="86"/>
      <c r="C421" s="79"/>
      <c r="D421" s="60"/>
      <c r="E421" s="62"/>
      <c r="F421" s="63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83"/>
      <c r="R421" s="18"/>
      <c r="W421" s="16">
        <f t="shared" si="166"/>
        <v>0</v>
      </c>
    </row>
    <row r="422" spans="1:23" s="6" customFormat="1" ht="15.6" hidden="1" x14ac:dyDescent="0.3">
      <c r="A422" s="75"/>
      <c r="B422" s="86"/>
      <c r="C422" s="80"/>
      <c r="D422" s="61"/>
      <c r="E422" s="63"/>
      <c r="F422" s="63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83"/>
      <c r="R422" s="37"/>
      <c r="W422" s="16">
        <f t="shared" si="166"/>
        <v>0</v>
      </c>
    </row>
    <row r="423" spans="1:23" ht="15.6" hidden="1" x14ac:dyDescent="0.3">
      <c r="A423" s="75"/>
      <c r="B423" s="86"/>
      <c r="C423" s="80"/>
      <c r="D423" s="61"/>
      <c r="E423" s="63"/>
      <c r="F423" s="63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83"/>
      <c r="R423" s="18"/>
      <c r="W423" s="16">
        <f t="shared" si="166"/>
        <v>0</v>
      </c>
    </row>
    <row r="424" spans="1:23" ht="15" hidden="1" customHeight="1" x14ac:dyDescent="0.3">
      <c r="A424" s="75"/>
      <c r="B424" s="86"/>
      <c r="C424" s="81"/>
      <c r="D424" s="62"/>
      <c r="E424" s="63"/>
      <c r="F424" s="63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83"/>
      <c r="R424" s="18"/>
      <c r="W424" s="16">
        <f t="shared" si="166"/>
        <v>0</v>
      </c>
    </row>
    <row r="425" spans="1:23" ht="15.6" hidden="1" x14ac:dyDescent="0.3">
      <c r="A425" s="75"/>
      <c r="B425" s="86"/>
      <c r="C425" s="82"/>
      <c r="D425" s="63"/>
      <c r="E425" s="60"/>
      <c r="F425" s="63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83"/>
      <c r="R425" s="18"/>
      <c r="W425" s="16">
        <f t="shared" si="166"/>
        <v>0</v>
      </c>
    </row>
    <row r="426" spans="1:23" ht="15.6" hidden="1" x14ac:dyDescent="0.3">
      <c r="A426" s="75"/>
      <c r="B426" s="86"/>
      <c r="C426" s="82"/>
      <c r="D426" s="63"/>
      <c r="E426" s="61"/>
      <c r="F426" s="63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83"/>
      <c r="R426" s="18"/>
      <c r="W426" s="16">
        <f t="shared" si="166"/>
        <v>0</v>
      </c>
    </row>
    <row r="427" spans="1:23" ht="15.6" hidden="1" x14ac:dyDescent="0.3">
      <c r="A427" s="75"/>
      <c r="B427" s="87"/>
      <c r="C427" s="82"/>
      <c r="D427" s="63"/>
      <c r="E427" s="61"/>
      <c r="F427" s="63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83"/>
      <c r="R427" s="18"/>
      <c r="W427" s="16">
        <f t="shared" si="166"/>
        <v>0</v>
      </c>
    </row>
    <row r="428" spans="1:23" s="13" customFormat="1" ht="15.75" hidden="1" customHeight="1" x14ac:dyDescent="0.3">
      <c r="A428" s="75"/>
      <c r="B428" s="86"/>
      <c r="C428" s="79"/>
      <c r="D428" s="60"/>
      <c r="E428" s="62"/>
      <c r="F428" s="63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83"/>
      <c r="R428" s="18"/>
      <c r="W428" s="16">
        <f t="shared" si="166"/>
        <v>0</v>
      </c>
    </row>
    <row r="429" spans="1:23" s="6" customFormat="1" ht="15.6" hidden="1" x14ac:dyDescent="0.3">
      <c r="A429" s="75"/>
      <c r="B429" s="86"/>
      <c r="C429" s="80"/>
      <c r="D429" s="61"/>
      <c r="E429" s="63"/>
      <c r="F429" s="63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83"/>
      <c r="R429" s="37"/>
      <c r="W429" s="16">
        <f t="shared" si="166"/>
        <v>0</v>
      </c>
    </row>
    <row r="430" spans="1:23" ht="15.6" hidden="1" x14ac:dyDescent="0.3">
      <c r="A430" s="75"/>
      <c r="B430" s="86"/>
      <c r="C430" s="80"/>
      <c r="D430" s="61"/>
      <c r="E430" s="63"/>
      <c r="F430" s="63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83"/>
      <c r="R430" s="18"/>
      <c r="W430" s="16">
        <f t="shared" si="166"/>
        <v>0</v>
      </c>
    </row>
    <row r="431" spans="1:23" ht="15" hidden="1" customHeight="1" x14ac:dyDescent="0.3">
      <c r="A431" s="75"/>
      <c r="B431" s="86"/>
      <c r="C431" s="81"/>
      <c r="D431" s="62"/>
      <c r="E431" s="63"/>
      <c r="F431" s="63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83"/>
      <c r="R431" s="18"/>
      <c r="W431" s="16">
        <f t="shared" si="166"/>
        <v>0</v>
      </c>
    </row>
    <row r="432" spans="1:23" ht="15.6" hidden="1" x14ac:dyDescent="0.3">
      <c r="A432" s="75"/>
      <c r="B432" s="86"/>
      <c r="C432" s="82"/>
      <c r="D432" s="63"/>
      <c r="E432" s="60"/>
      <c r="F432" s="63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83"/>
      <c r="R432" s="18"/>
      <c r="W432" s="16">
        <f t="shared" si="166"/>
        <v>0</v>
      </c>
    </row>
    <row r="433" spans="1:28" ht="15.6" hidden="1" x14ac:dyDescent="0.3">
      <c r="A433" s="75"/>
      <c r="B433" s="86"/>
      <c r="C433" s="82"/>
      <c r="D433" s="63"/>
      <c r="E433" s="61"/>
      <c r="F433" s="63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83"/>
      <c r="R433" s="18"/>
      <c r="W433" s="16">
        <f t="shared" si="166"/>
        <v>0</v>
      </c>
    </row>
    <row r="434" spans="1:28" ht="15.6" hidden="1" x14ac:dyDescent="0.3">
      <c r="A434" s="76"/>
      <c r="B434" s="87"/>
      <c r="C434" s="82"/>
      <c r="D434" s="63"/>
      <c r="E434" s="61"/>
      <c r="F434" s="63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83"/>
      <c r="R434" s="18"/>
      <c r="W434" s="16">
        <f t="shared" si="166"/>
        <v>0</v>
      </c>
    </row>
    <row r="435" spans="1:28" s="13" customFormat="1" ht="15.75" customHeight="1" x14ac:dyDescent="0.3">
      <c r="A435" s="74"/>
      <c r="B435" s="86" t="s">
        <v>140</v>
      </c>
      <c r="C435" s="79" t="s">
        <v>137</v>
      </c>
      <c r="D435" s="79" t="s">
        <v>44</v>
      </c>
      <c r="E435" s="82" t="s">
        <v>114</v>
      </c>
      <c r="F435" s="63" t="s">
        <v>18</v>
      </c>
      <c r="G435" s="72">
        <f>SUM(G436:G446)</f>
        <v>243.7</v>
      </c>
      <c r="H435" s="72">
        <f t="shared" ref="H435:P435" si="173">SUM(H436:H446)</f>
        <v>243.7</v>
      </c>
      <c r="I435" s="72">
        <f t="shared" si="173"/>
        <v>243.7</v>
      </c>
      <c r="J435" s="72">
        <f t="shared" si="173"/>
        <v>243.7</v>
      </c>
      <c r="K435" s="72">
        <f t="shared" si="173"/>
        <v>0</v>
      </c>
      <c r="L435" s="72">
        <f t="shared" si="173"/>
        <v>0</v>
      </c>
      <c r="M435" s="72">
        <f t="shared" si="173"/>
        <v>0</v>
      </c>
      <c r="N435" s="72">
        <f t="shared" si="173"/>
        <v>0</v>
      </c>
      <c r="O435" s="72">
        <f t="shared" si="173"/>
        <v>0</v>
      </c>
      <c r="P435" s="72">
        <f t="shared" si="173"/>
        <v>0</v>
      </c>
      <c r="Q435" s="83" t="s">
        <v>33</v>
      </c>
      <c r="R435" s="18"/>
      <c r="W435" s="16">
        <f t="shared" ref="W435:W446" si="174">I435-J435</f>
        <v>0</v>
      </c>
    </row>
    <row r="436" spans="1:28" s="6" customFormat="1" ht="15.6" x14ac:dyDescent="0.3">
      <c r="A436" s="75"/>
      <c r="B436" s="86"/>
      <c r="C436" s="80"/>
      <c r="D436" s="80"/>
      <c r="E436" s="82"/>
      <c r="F436" s="63" t="s">
        <v>20</v>
      </c>
      <c r="G436" s="72">
        <f t="shared" ref="G436:G446" si="175">I436+K436+M436+O436</f>
        <v>0</v>
      </c>
      <c r="H436" s="72">
        <f t="shared" ref="H436:H446" si="176">J436+L436+N436+P436</f>
        <v>0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  <c r="P436" s="72">
        <v>0</v>
      </c>
      <c r="Q436" s="83"/>
      <c r="R436" s="37"/>
      <c r="W436" s="16">
        <f t="shared" si="174"/>
        <v>0</v>
      </c>
    </row>
    <row r="437" spans="1:28" ht="15.6" x14ac:dyDescent="0.3">
      <c r="A437" s="75"/>
      <c r="B437" s="86"/>
      <c r="C437" s="80"/>
      <c r="D437" s="80"/>
      <c r="E437" s="82"/>
      <c r="F437" s="63" t="s">
        <v>22</v>
      </c>
      <c r="G437" s="72">
        <f t="shared" si="175"/>
        <v>0</v>
      </c>
      <c r="H437" s="72">
        <f t="shared" si="176"/>
        <v>0</v>
      </c>
      <c r="I437" s="72">
        <v>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  <c r="Q437" s="83"/>
      <c r="R437" s="18"/>
      <c r="W437" s="16">
        <f t="shared" si="174"/>
        <v>0</v>
      </c>
    </row>
    <row r="438" spans="1:28" ht="15" customHeight="1" x14ac:dyDescent="0.3">
      <c r="A438" s="75"/>
      <c r="B438" s="86"/>
      <c r="C438" s="80"/>
      <c r="D438" s="80"/>
      <c r="E438" s="82"/>
      <c r="F438" s="63" t="s">
        <v>23</v>
      </c>
      <c r="G438" s="72">
        <f t="shared" si="175"/>
        <v>0</v>
      </c>
      <c r="H438" s="72">
        <f t="shared" si="176"/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  <c r="Q438" s="83"/>
      <c r="R438" s="18"/>
      <c r="W438" s="16">
        <f t="shared" si="174"/>
        <v>0</v>
      </c>
    </row>
    <row r="439" spans="1:28" ht="15.75" customHeight="1" x14ac:dyDescent="0.3">
      <c r="A439" s="75"/>
      <c r="B439" s="86"/>
      <c r="C439" s="80"/>
      <c r="D439" s="80"/>
      <c r="E439" s="82"/>
      <c r="F439" s="63" t="s">
        <v>24</v>
      </c>
      <c r="G439" s="72">
        <f t="shared" si="175"/>
        <v>0</v>
      </c>
      <c r="H439" s="72">
        <f t="shared" si="176"/>
        <v>0</v>
      </c>
      <c r="I439" s="72">
        <v>0</v>
      </c>
      <c r="J439" s="72">
        <v>0</v>
      </c>
      <c r="K439" s="72">
        <v>0</v>
      </c>
      <c r="L439" s="72">
        <v>0</v>
      </c>
      <c r="M439" s="72">
        <f t="shared" ref="M439:M441" si="177">M438</f>
        <v>0</v>
      </c>
      <c r="N439" s="72">
        <v>0</v>
      </c>
      <c r="O439" s="72">
        <v>0</v>
      </c>
      <c r="P439" s="72">
        <v>0</v>
      </c>
      <c r="Q439" s="83"/>
      <c r="R439" s="18"/>
      <c r="W439" s="16">
        <f t="shared" si="174"/>
        <v>0</v>
      </c>
    </row>
    <row r="440" spans="1:28" ht="15.6" x14ac:dyDescent="0.3">
      <c r="A440" s="75"/>
      <c r="B440" s="86"/>
      <c r="C440" s="80"/>
      <c r="D440" s="80"/>
      <c r="E440" s="82"/>
      <c r="F440" s="63" t="s">
        <v>25</v>
      </c>
      <c r="G440" s="72">
        <f t="shared" si="175"/>
        <v>0</v>
      </c>
      <c r="H440" s="72">
        <f t="shared" si="176"/>
        <v>0</v>
      </c>
      <c r="I440" s="72">
        <f t="shared" ref="I440:I441" si="178">J440</f>
        <v>0</v>
      </c>
      <c r="J440" s="72">
        <v>0</v>
      </c>
      <c r="K440" s="72">
        <v>0</v>
      </c>
      <c r="L440" s="72">
        <v>0</v>
      </c>
      <c r="M440" s="72">
        <f t="shared" si="177"/>
        <v>0</v>
      </c>
      <c r="N440" s="72">
        <v>0</v>
      </c>
      <c r="O440" s="72">
        <v>0</v>
      </c>
      <c r="P440" s="72">
        <v>0</v>
      </c>
      <c r="Q440" s="83"/>
      <c r="R440" s="18"/>
      <c r="W440" s="16">
        <f t="shared" si="174"/>
        <v>0</v>
      </c>
    </row>
    <row r="441" spans="1:28" ht="15.6" x14ac:dyDescent="0.3">
      <c r="A441" s="75"/>
      <c r="B441" s="86"/>
      <c r="C441" s="80"/>
      <c r="D441" s="80"/>
      <c r="E441" s="82"/>
      <c r="F441" s="63" t="s">
        <v>26</v>
      </c>
      <c r="G441" s="72">
        <f t="shared" si="175"/>
        <v>0</v>
      </c>
      <c r="H441" s="72">
        <f t="shared" si="176"/>
        <v>0</v>
      </c>
      <c r="I441" s="72">
        <f t="shared" si="178"/>
        <v>0</v>
      </c>
      <c r="J441" s="72">
        <v>0</v>
      </c>
      <c r="K441" s="72">
        <v>0</v>
      </c>
      <c r="L441" s="72">
        <v>0</v>
      </c>
      <c r="M441" s="72">
        <f t="shared" si="177"/>
        <v>0</v>
      </c>
      <c r="N441" s="72">
        <v>0</v>
      </c>
      <c r="O441" s="72">
        <v>0</v>
      </c>
      <c r="P441" s="72">
        <v>0</v>
      </c>
      <c r="Q441" s="83"/>
      <c r="R441" s="18"/>
      <c r="W441" s="16">
        <f t="shared" si="174"/>
        <v>0</v>
      </c>
    </row>
    <row r="442" spans="1:28" ht="15.6" x14ac:dyDescent="0.3">
      <c r="A442" s="75"/>
      <c r="B442" s="86"/>
      <c r="C442" s="80"/>
      <c r="D442" s="80"/>
      <c r="E442" s="82"/>
      <c r="F442" s="63" t="s">
        <v>27</v>
      </c>
      <c r="G442" s="72">
        <f t="shared" si="175"/>
        <v>0</v>
      </c>
      <c r="H442" s="72">
        <f t="shared" si="176"/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  <c r="Q442" s="83"/>
      <c r="R442" s="18"/>
      <c r="W442" s="16">
        <f t="shared" si="174"/>
        <v>0</v>
      </c>
    </row>
    <row r="443" spans="1:28" ht="15.6" x14ac:dyDescent="0.3">
      <c r="A443" s="75"/>
      <c r="B443" s="86"/>
      <c r="C443" s="80"/>
      <c r="D443" s="80"/>
      <c r="E443" s="82"/>
      <c r="F443" s="63" t="s">
        <v>28</v>
      </c>
      <c r="G443" s="72">
        <f t="shared" si="175"/>
        <v>0</v>
      </c>
      <c r="H443" s="72">
        <f t="shared" si="176"/>
        <v>0</v>
      </c>
      <c r="I443" s="72">
        <f t="shared" ref="I443" si="179">J443</f>
        <v>0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  <c r="Q443" s="83"/>
      <c r="R443" s="18"/>
      <c r="W443" s="16">
        <f t="shared" si="174"/>
        <v>0</v>
      </c>
    </row>
    <row r="444" spans="1:28" ht="15.6" x14ac:dyDescent="0.3">
      <c r="A444" s="75"/>
      <c r="B444" s="86"/>
      <c r="C444" s="80"/>
      <c r="D444" s="80"/>
      <c r="E444" s="82"/>
      <c r="F444" s="63" t="s">
        <v>29</v>
      </c>
      <c r="G444" s="72">
        <f t="shared" si="175"/>
        <v>243.7</v>
      </c>
      <c r="H444" s="72">
        <f t="shared" si="176"/>
        <v>243.7</v>
      </c>
      <c r="I444" s="72">
        <f>J444</f>
        <v>243.7</v>
      </c>
      <c r="J444" s="72">
        <v>243.7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  <c r="Q444" s="83"/>
      <c r="R444" s="18"/>
      <c r="W444" s="16">
        <f t="shared" si="174"/>
        <v>0</v>
      </c>
      <c r="AB444" s="32"/>
    </row>
    <row r="445" spans="1:28" ht="15.6" x14ac:dyDescent="0.3">
      <c r="A445" s="75"/>
      <c r="B445" s="86"/>
      <c r="C445" s="80"/>
      <c r="D445" s="80"/>
      <c r="E445" s="82"/>
      <c r="F445" s="63" t="s">
        <v>30</v>
      </c>
      <c r="G445" s="72">
        <f t="shared" si="175"/>
        <v>0</v>
      </c>
      <c r="H445" s="72">
        <f t="shared" si="176"/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  <c r="Q445" s="83"/>
      <c r="R445" s="18"/>
      <c r="W445" s="16">
        <f t="shared" si="174"/>
        <v>0</v>
      </c>
    </row>
    <row r="446" spans="1:28" ht="15.6" x14ac:dyDescent="0.3">
      <c r="A446" s="76"/>
      <c r="B446" s="87"/>
      <c r="C446" s="81"/>
      <c r="D446" s="81"/>
      <c r="E446" s="82"/>
      <c r="F446" s="63" t="s">
        <v>31</v>
      </c>
      <c r="G446" s="72">
        <f t="shared" si="175"/>
        <v>0</v>
      </c>
      <c r="H446" s="72">
        <f t="shared" si="176"/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  <c r="Q446" s="83"/>
      <c r="R446" s="18"/>
      <c r="W446" s="16">
        <f t="shared" si="174"/>
        <v>0</v>
      </c>
    </row>
    <row r="447" spans="1:28" ht="15.6" customHeight="1" x14ac:dyDescent="0.3">
      <c r="A447" s="59"/>
      <c r="B447" s="65" t="s">
        <v>120</v>
      </c>
      <c r="C447" s="64"/>
      <c r="D447" s="74"/>
      <c r="E447" s="84"/>
      <c r="F447" s="64" t="s">
        <v>18</v>
      </c>
      <c r="G447" s="11">
        <f t="shared" ref="G447:P447" si="180">SUM(G448:G458)</f>
        <v>45550.8</v>
      </c>
      <c r="H447" s="11">
        <f t="shared" si="180"/>
        <v>15290.8</v>
      </c>
      <c r="I447" s="11">
        <f t="shared" si="180"/>
        <v>5532.8</v>
      </c>
      <c r="J447" s="11">
        <f t="shared" si="180"/>
        <v>272.8</v>
      </c>
      <c r="K447" s="11">
        <f t="shared" si="180"/>
        <v>39867.5</v>
      </c>
      <c r="L447" s="11">
        <f t="shared" si="180"/>
        <v>14867.5</v>
      </c>
      <c r="M447" s="11">
        <f t="shared" si="180"/>
        <v>150.5</v>
      </c>
      <c r="N447" s="11">
        <f t="shared" si="180"/>
        <v>150.5</v>
      </c>
      <c r="O447" s="11">
        <f t="shared" si="180"/>
        <v>0</v>
      </c>
      <c r="P447" s="11">
        <f t="shared" si="180"/>
        <v>0</v>
      </c>
      <c r="Q447" s="66"/>
      <c r="R447" s="18"/>
      <c r="W447" s="16">
        <f t="shared" si="166"/>
        <v>5260</v>
      </c>
    </row>
    <row r="448" spans="1:28" s="13" customFormat="1" ht="35.25" hidden="1" customHeight="1" x14ac:dyDescent="0.3">
      <c r="A448" s="74"/>
      <c r="B448" s="85" t="s">
        <v>121</v>
      </c>
      <c r="C448" s="64"/>
      <c r="D448" s="75"/>
      <c r="E448" s="84"/>
      <c r="F448" s="64" t="s">
        <v>20</v>
      </c>
      <c r="G448" s="11">
        <f t="shared" ref="G448:G458" si="181">I448+K448+M448+O448</f>
        <v>0</v>
      </c>
      <c r="H448" s="11">
        <f t="shared" ref="H448:H458" si="182">J448+L448+N448+P448</f>
        <v>0</v>
      </c>
      <c r="I448" s="11"/>
      <c r="J448" s="11"/>
      <c r="K448" s="11"/>
      <c r="L448" s="11"/>
      <c r="M448" s="11"/>
      <c r="N448" s="11"/>
      <c r="O448" s="11"/>
      <c r="P448" s="11"/>
      <c r="Q448" s="66"/>
      <c r="R448" s="18"/>
      <c r="W448" s="16">
        <f t="shared" si="166"/>
        <v>0</v>
      </c>
    </row>
    <row r="449" spans="1:26" s="13" customFormat="1" ht="15.75" hidden="1" customHeight="1" x14ac:dyDescent="0.3">
      <c r="A449" s="75"/>
      <c r="B449" s="85"/>
      <c r="C449" s="74" t="s">
        <v>122</v>
      </c>
      <c r="D449" s="75"/>
      <c r="E449" s="84"/>
      <c r="F449" s="64" t="s">
        <v>22</v>
      </c>
      <c r="G449" s="11">
        <f t="shared" si="181"/>
        <v>0</v>
      </c>
      <c r="H449" s="11">
        <f t="shared" si="182"/>
        <v>0</v>
      </c>
      <c r="I449" s="11"/>
      <c r="J449" s="11"/>
      <c r="K449" s="11"/>
      <c r="L449" s="11"/>
      <c r="M449" s="11"/>
      <c r="N449" s="11"/>
      <c r="O449" s="11"/>
      <c r="P449" s="11"/>
      <c r="Q449" s="66"/>
      <c r="R449" s="18"/>
      <c r="W449" s="16">
        <f t="shared" si="166"/>
        <v>0</v>
      </c>
    </row>
    <row r="450" spans="1:26" s="13" customFormat="1" ht="15.6" hidden="1" customHeight="1" x14ac:dyDescent="0.3">
      <c r="A450" s="75"/>
      <c r="B450" s="85"/>
      <c r="C450" s="75"/>
      <c r="D450" s="75"/>
      <c r="E450" s="84"/>
      <c r="F450" s="64" t="s">
        <v>23</v>
      </c>
      <c r="G450" s="11">
        <f t="shared" si="181"/>
        <v>0</v>
      </c>
      <c r="H450" s="11">
        <f t="shared" si="182"/>
        <v>0</v>
      </c>
      <c r="I450" s="11"/>
      <c r="J450" s="11"/>
      <c r="K450" s="11"/>
      <c r="L450" s="11"/>
      <c r="M450" s="11"/>
      <c r="N450" s="11"/>
      <c r="O450" s="11"/>
      <c r="P450" s="11"/>
      <c r="Q450" s="66"/>
      <c r="R450" s="18"/>
      <c r="W450" s="16">
        <f t="shared" si="166"/>
        <v>0</v>
      </c>
      <c r="Z450" s="20"/>
    </row>
    <row r="451" spans="1:26" s="13" customFormat="1" ht="15.6" hidden="1" customHeight="1" x14ac:dyDescent="0.3">
      <c r="A451" s="75"/>
      <c r="B451" s="85"/>
      <c r="C451" s="75"/>
      <c r="D451" s="75"/>
      <c r="E451" s="84"/>
      <c r="F451" s="64" t="s">
        <v>24</v>
      </c>
      <c r="G451" s="11">
        <f t="shared" si="181"/>
        <v>0</v>
      </c>
      <c r="H451" s="11">
        <f t="shared" si="182"/>
        <v>0</v>
      </c>
      <c r="I451" s="11"/>
      <c r="J451" s="11"/>
      <c r="K451" s="11"/>
      <c r="L451" s="11"/>
      <c r="M451" s="11"/>
      <c r="N451" s="11"/>
      <c r="O451" s="11"/>
      <c r="P451" s="11"/>
      <c r="Q451" s="66"/>
      <c r="R451" s="18"/>
      <c r="W451" s="16">
        <f t="shared" si="166"/>
        <v>0</v>
      </c>
    </row>
    <row r="452" spans="1:26" s="13" customFormat="1" ht="15.6" x14ac:dyDescent="0.3">
      <c r="A452" s="75"/>
      <c r="B452" s="85"/>
      <c r="C452" s="75"/>
      <c r="D452" s="75"/>
      <c r="E452" s="84"/>
      <c r="F452" s="64" t="s">
        <v>25</v>
      </c>
      <c r="G452" s="11">
        <f>I452+K452+M452+O452</f>
        <v>5000</v>
      </c>
      <c r="H452" s="11">
        <f t="shared" si="182"/>
        <v>5000</v>
      </c>
      <c r="I452" s="11">
        <f t="shared" ref="I452:P458" si="183">I464</f>
        <v>0</v>
      </c>
      <c r="J452" s="11">
        <f t="shared" ref="J452:P452" si="184">J464</f>
        <v>0</v>
      </c>
      <c r="K452" s="11">
        <f t="shared" si="184"/>
        <v>5000</v>
      </c>
      <c r="L452" s="11">
        <f t="shared" si="184"/>
        <v>5000</v>
      </c>
      <c r="M452" s="11">
        <f t="shared" si="184"/>
        <v>0</v>
      </c>
      <c r="N452" s="11">
        <f t="shared" si="184"/>
        <v>0</v>
      </c>
      <c r="O452" s="11">
        <f t="shared" si="184"/>
        <v>0</v>
      </c>
      <c r="P452" s="11">
        <f t="shared" si="184"/>
        <v>0</v>
      </c>
      <c r="Q452" s="66"/>
      <c r="R452" s="18"/>
      <c r="W452" s="16">
        <f t="shared" si="166"/>
        <v>0</v>
      </c>
    </row>
    <row r="453" spans="1:26" s="13" customFormat="1" ht="15.6" x14ac:dyDescent="0.3">
      <c r="A453" s="75"/>
      <c r="B453" s="85"/>
      <c r="C453" s="75"/>
      <c r="D453" s="75"/>
      <c r="E453" s="84"/>
      <c r="F453" s="64" t="s">
        <v>26</v>
      </c>
      <c r="G453" s="11">
        <f t="shared" si="181"/>
        <v>5260</v>
      </c>
      <c r="H453" s="11">
        <f t="shared" si="182"/>
        <v>0</v>
      </c>
      <c r="I453" s="11">
        <f t="shared" si="183"/>
        <v>260</v>
      </c>
      <c r="J453" s="11">
        <f t="shared" si="183"/>
        <v>0</v>
      </c>
      <c r="K453" s="11">
        <f t="shared" si="183"/>
        <v>5000</v>
      </c>
      <c r="L453" s="11">
        <f t="shared" si="183"/>
        <v>0</v>
      </c>
      <c r="M453" s="11">
        <f t="shared" si="183"/>
        <v>0</v>
      </c>
      <c r="N453" s="11">
        <f t="shared" si="183"/>
        <v>0</v>
      </c>
      <c r="O453" s="11">
        <f t="shared" si="183"/>
        <v>0</v>
      </c>
      <c r="P453" s="11">
        <f t="shared" si="183"/>
        <v>0</v>
      </c>
      <c r="Q453" s="66"/>
      <c r="R453" s="18"/>
      <c r="W453" s="16">
        <f t="shared" si="166"/>
        <v>260</v>
      </c>
    </row>
    <row r="454" spans="1:26" s="13" customFormat="1" ht="15.6" x14ac:dyDescent="0.3">
      <c r="A454" s="75"/>
      <c r="B454" s="85"/>
      <c r="C454" s="75"/>
      <c r="D454" s="75"/>
      <c r="E454" s="84"/>
      <c r="F454" s="64" t="s">
        <v>27</v>
      </c>
      <c r="G454" s="11">
        <f t="shared" si="181"/>
        <v>6000</v>
      </c>
      <c r="H454" s="11">
        <f t="shared" si="182"/>
        <v>5000</v>
      </c>
      <c r="I454" s="11">
        <f t="shared" si="183"/>
        <v>1000</v>
      </c>
      <c r="J454" s="11">
        <f t="shared" si="183"/>
        <v>0</v>
      </c>
      <c r="K454" s="11">
        <f t="shared" si="183"/>
        <v>5000</v>
      </c>
      <c r="L454" s="11">
        <f t="shared" si="183"/>
        <v>5000</v>
      </c>
      <c r="M454" s="11">
        <f t="shared" si="183"/>
        <v>0</v>
      </c>
      <c r="N454" s="11">
        <f t="shared" si="183"/>
        <v>0</v>
      </c>
      <c r="O454" s="11">
        <f t="shared" si="183"/>
        <v>0</v>
      </c>
      <c r="P454" s="11">
        <f t="shared" si="183"/>
        <v>0</v>
      </c>
      <c r="Q454" s="66"/>
      <c r="R454" s="18"/>
      <c r="W454" s="16">
        <f t="shared" si="166"/>
        <v>1000</v>
      </c>
    </row>
    <row r="455" spans="1:26" s="13" customFormat="1" ht="15.6" x14ac:dyDescent="0.3">
      <c r="A455" s="75"/>
      <c r="B455" s="85"/>
      <c r="C455" s="75"/>
      <c r="D455" s="75"/>
      <c r="E455" s="84"/>
      <c r="F455" s="64" t="s">
        <v>28</v>
      </c>
      <c r="G455" s="11">
        <f t="shared" si="181"/>
        <v>6000</v>
      </c>
      <c r="H455" s="11">
        <f t="shared" si="182"/>
        <v>0</v>
      </c>
      <c r="I455" s="11">
        <f t="shared" si="183"/>
        <v>1000</v>
      </c>
      <c r="J455" s="11">
        <f t="shared" si="183"/>
        <v>0</v>
      </c>
      <c r="K455" s="11">
        <f t="shared" si="183"/>
        <v>5000</v>
      </c>
      <c r="L455" s="11">
        <f t="shared" si="183"/>
        <v>0</v>
      </c>
      <c r="M455" s="11">
        <f t="shared" si="183"/>
        <v>0</v>
      </c>
      <c r="N455" s="11">
        <f t="shared" si="183"/>
        <v>0</v>
      </c>
      <c r="O455" s="11">
        <f t="shared" si="183"/>
        <v>0</v>
      </c>
      <c r="P455" s="11">
        <f t="shared" si="183"/>
        <v>0</v>
      </c>
      <c r="Q455" s="66"/>
      <c r="R455" s="18"/>
      <c r="W455" s="16">
        <f t="shared" si="166"/>
        <v>1000</v>
      </c>
    </row>
    <row r="456" spans="1:26" s="13" customFormat="1" ht="15.6" x14ac:dyDescent="0.3">
      <c r="A456" s="75"/>
      <c r="B456" s="85"/>
      <c r="C456" s="75"/>
      <c r="D456" s="75"/>
      <c r="E456" s="84"/>
      <c r="F456" s="64" t="s">
        <v>29</v>
      </c>
      <c r="G456" s="11">
        <f t="shared" si="181"/>
        <v>11290.8</v>
      </c>
      <c r="H456" s="11">
        <f>J456+L456+N456+P456</f>
        <v>5290.8</v>
      </c>
      <c r="I456" s="11">
        <f>I468+I492</f>
        <v>1272.8</v>
      </c>
      <c r="J456" s="11">
        <f t="shared" ref="J456:P456" si="185">J468+J492</f>
        <v>272.8</v>
      </c>
      <c r="K456" s="11">
        <f t="shared" si="185"/>
        <v>9867.5</v>
      </c>
      <c r="L456" s="11">
        <f t="shared" si="185"/>
        <v>4867.5</v>
      </c>
      <c r="M456" s="11">
        <f t="shared" si="185"/>
        <v>150.5</v>
      </c>
      <c r="N456" s="11">
        <f t="shared" si="185"/>
        <v>150.5</v>
      </c>
      <c r="O456" s="11">
        <f t="shared" si="185"/>
        <v>0</v>
      </c>
      <c r="P456" s="11">
        <f t="shared" si="185"/>
        <v>0</v>
      </c>
      <c r="Q456" s="66"/>
      <c r="R456" s="18"/>
      <c r="W456" s="16">
        <f t="shared" si="166"/>
        <v>1000</v>
      </c>
    </row>
    <row r="457" spans="1:26" s="13" customFormat="1" ht="15.6" x14ac:dyDescent="0.3">
      <c r="A457" s="75"/>
      <c r="B457" s="85"/>
      <c r="C457" s="75"/>
      <c r="D457" s="75"/>
      <c r="E457" s="84"/>
      <c r="F457" s="64" t="s">
        <v>30</v>
      </c>
      <c r="G457" s="11">
        <f t="shared" si="181"/>
        <v>6000</v>
      </c>
      <c r="H457" s="11">
        <f t="shared" si="182"/>
        <v>0</v>
      </c>
      <c r="I457" s="11">
        <f t="shared" si="183"/>
        <v>1000</v>
      </c>
      <c r="J457" s="11">
        <f t="shared" si="183"/>
        <v>0</v>
      </c>
      <c r="K457" s="11">
        <f t="shared" si="183"/>
        <v>5000</v>
      </c>
      <c r="L457" s="11">
        <f t="shared" si="183"/>
        <v>0</v>
      </c>
      <c r="M457" s="11">
        <f t="shared" si="183"/>
        <v>0</v>
      </c>
      <c r="N457" s="11">
        <f t="shared" si="183"/>
        <v>0</v>
      </c>
      <c r="O457" s="11">
        <f t="shared" si="183"/>
        <v>0</v>
      </c>
      <c r="P457" s="11">
        <f t="shared" si="183"/>
        <v>0</v>
      </c>
      <c r="Q457" s="66"/>
      <c r="R457" s="18"/>
      <c r="W457" s="16">
        <f t="shared" si="166"/>
        <v>1000</v>
      </c>
    </row>
    <row r="458" spans="1:26" s="13" customFormat="1" ht="15.6" x14ac:dyDescent="0.3">
      <c r="A458" s="76"/>
      <c r="B458" s="85"/>
      <c r="C458" s="76"/>
      <c r="D458" s="76"/>
      <c r="E458" s="84"/>
      <c r="F458" s="64" t="s">
        <v>31</v>
      </c>
      <c r="G458" s="11">
        <f t="shared" si="181"/>
        <v>6000</v>
      </c>
      <c r="H458" s="11">
        <f t="shared" si="182"/>
        <v>0</v>
      </c>
      <c r="I458" s="11">
        <f t="shared" si="183"/>
        <v>1000</v>
      </c>
      <c r="J458" s="11">
        <f t="shared" si="183"/>
        <v>0</v>
      </c>
      <c r="K458" s="11">
        <f t="shared" si="183"/>
        <v>5000</v>
      </c>
      <c r="L458" s="11">
        <f t="shared" si="183"/>
        <v>0</v>
      </c>
      <c r="M458" s="11">
        <f t="shared" si="183"/>
        <v>0</v>
      </c>
      <c r="N458" s="11">
        <f t="shared" si="183"/>
        <v>0</v>
      </c>
      <c r="O458" s="11">
        <f t="shared" si="183"/>
        <v>0</v>
      </c>
      <c r="P458" s="11">
        <f t="shared" si="183"/>
        <v>0</v>
      </c>
      <c r="Q458" s="66"/>
      <c r="R458" s="18"/>
      <c r="W458" s="16">
        <f t="shared" ref="W458:W506" si="186">I458-J458</f>
        <v>1000</v>
      </c>
    </row>
    <row r="459" spans="1:26" s="13" customFormat="1" ht="15.75" customHeight="1" x14ac:dyDescent="0.3">
      <c r="A459" s="74"/>
      <c r="B459" s="86" t="s">
        <v>123</v>
      </c>
      <c r="C459" s="79"/>
      <c r="D459" s="79" t="s">
        <v>44</v>
      </c>
      <c r="E459" s="82" t="s">
        <v>124</v>
      </c>
      <c r="F459" s="63" t="s">
        <v>18</v>
      </c>
      <c r="G459" s="72">
        <f>SUM(G460:G470)</f>
        <v>40260</v>
      </c>
      <c r="H459" s="72">
        <f t="shared" ref="H459:P459" si="187">SUM(H460:H470)</f>
        <v>10000</v>
      </c>
      <c r="I459" s="72">
        <f t="shared" si="187"/>
        <v>5260</v>
      </c>
      <c r="J459" s="72">
        <f t="shared" si="187"/>
        <v>0</v>
      </c>
      <c r="K459" s="72">
        <f t="shared" si="187"/>
        <v>35000</v>
      </c>
      <c r="L459" s="72">
        <f t="shared" si="187"/>
        <v>10000</v>
      </c>
      <c r="M459" s="72">
        <f t="shared" si="187"/>
        <v>0</v>
      </c>
      <c r="N459" s="72">
        <f t="shared" si="187"/>
        <v>0</v>
      </c>
      <c r="O459" s="72">
        <f t="shared" si="187"/>
        <v>0</v>
      </c>
      <c r="P459" s="72">
        <f t="shared" si="187"/>
        <v>0</v>
      </c>
      <c r="Q459" s="83" t="s">
        <v>33</v>
      </c>
      <c r="R459" s="18"/>
      <c r="W459" s="16">
        <f t="shared" si="186"/>
        <v>5260</v>
      </c>
    </row>
    <row r="460" spans="1:26" s="6" customFormat="1" ht="15.6" hidden="1" customHeight="1" x14ac:dyDescent="0.3">
      <c r="A460" s="75"/>
      <c r="B460" s="86"/>
      <c r="C460" s="80"/>
      <c r="D460" s="80"/>
      <c r="E460" s="82"/>
      <c r="F460" s="63" t="s">
        <v>20</v>
      </c>
      <c r="G460" s="72">
        <f t="shared" ref="G460:G470" si="188">I460+K460+M460+O460</f>
        <v>0</v>
      </c>
      <c r="H460" s="72">
        <f t="shared" ref="H460:H470" si="189">J460+L460+N460+P460</f>
        <v>0</v>
      </c>
      <c r="I460" s="72"/>
      <c r="J460" s="72"/>
      <c r="K460" s="72"/>
      <c r="L460" s="72"/>
      <c r="M460" s="72"/>
      <c r="N460" s="72"/>
      <c r="O460" s="72"/>
      <c r="P460" s="72"/>
      <c r="Q460" s="83"/>
      <c r="R460" s="37"/>
      <c r="W460" s="16">
        <f t="shared" si="186"/>
        <v>0</v>
      </c>
    </row>
    <row r="461" spans="1:26" ht="15.6" hidden="1" customHeight="1" x14ac:dyDescent="0.3">
      <c r="A461" s="75"/>
      <c r="B461" s="86"/>
      <c r="C461" s="80"/>
      <c r="D461" s="80"/>
      <c r="E461" s="82"/>
      <c r="F461" s="63" t="s">
        <v>22</v>
      </c>
      <c r="G461" s="72">
        <f t="shared" si="188"/>
        <v>0</v>
      </c>
      <c r="H461" s="72">
        <f t="shared" si="189"/>
        <v>0</v>
      </c>
      <c r="I461" s="72"/>
      <c r="J461" s="72"/>
      <c r="K461" s="72"/>
      <c r="L461" s="72"/>
      <c r="M461" s="72"/>
      <c r="N461" s="72"/>
      <c r="O461" s="72"/>
      <c r="P461" s="72"/>
      <c r="Q461" s="83"/>
      <c r="R461" s="18"/>
      <c r="W461" s="16">
        <f t="shared" si="186"/>
        <v>0</v>
      </c>
    </row>
    <row r="462" spans="1:26" ht="15" hidden="1" customHeight="1" x14ac:dyDescent="0.3">
      <c r="A462" s="75"/>
      <c r="B462" s="86"/>
      <c r="C462" s="81"/>
      <c r="D462" s="80"/>
      <c r="E462" s="82"/>
      <c r="F462" s="63" t="s">
        <v>23</v>
      </c>
      <c r="G462" s="72">
        <f t="shared" si="188"/>
        <v>0</v>
      </c>
      <c r="H462" s="72">
        <f t="shared" si="189"/>
        <v>0</v>
      </c>
      <c r="I462" s="72"/>
      <c r="J462" s="72"/>
      <c r="K462" s="72"/>
      <c r="L462" s="72"/>
      <c r="M462" s="72"/>
      <c r="N462" s="72"/>
      <c r="O462" s="72"/>
      <c r="P462" s="72"/>
      <c r="Q462" s="83"/>
      <c r="R462" s="18"/>
      <c r="W462" s="16">
        <f t="shared" si="186"/>
        <v>0</v>
      </c>
    </row>
    <row r="463" spans="1:26" ht="15.6" hidden="1" customHeight="1" x14ac:dyDescent="0.3">
      <c r="A463" s="75"/>
      <c r="B463" s="86"/>
      <c r="C463" s="82" t="s">
        <v>125</v>
      </c>
      <c r="D463" s="80"/>
      <c r="E463" s="82"/>
      <c r="F463" s="63" t="s">
        <v>24</v>
      </c>
      <c r="G463" s="72">
        <f t="shared" si="188"/>
        <v>0</v>
      </c>
      <c r="H463" s="72">
        <f t="shared" si="189"/>
        <v>0</v>
      </c>
      <c r="I463" s="72"/>
      <c r="J463" s="72"/>
      <c r="K463" s="72"/>
      <c r="L463" s="72"/>
      <c r="M463" s="72"/>
      <c r="N463" s="72"/>
      <c r="O463" s="72"/>
      <c r="P463" s="72"/>
      <c r="Q463" s="83"/>
      <c r="R463" s="18"/>
      <c r="W463" s="16">
        <f t="shared" si="186"/>
        <v>0</v>
      </c>
    </row>
    <row r="464" spans="1:26" ht="15.6" x14ac:dyDescent="0.3">
      <c r="A464" s="75"/>
      <c r="B464" s="86"/>
      <c r="C464" s="82"/>
      <c r="D464" s="80"/>
      <c r="E464" s="82"/>
      <c r="F464" s="63" t="s">
        <v>25</v>
      </c>
      <c r="G464" s="72">
        <f t="shared" si="188"/>
        <v>5000</v>
      </c>
      <c r="H464" s="72">
        <f t="shared" si="189"/>
        <v>5000</v>
      </c>
      <c r="I464" s="72">
        <v>0</v>
      </c>
      <c r="J464" s="72">
        <v>0</v>
      </c>
      <c r="K464" s="72">
        <v>5000</v>
      </c>
      <c r="L464" s="72">
        <f>K464</f>
        <v>5000</v>
      </c>
      <c r="M464" s="72">
        <v>0</v>
      </c>
      <c r="N464" s="72">
        <v>0</v>
      </c>
      <c r="O464" s="72">
        <v>0</v>
      </c>
      <c r="P464" s="72">
        <f>O464</f>
        <v>0</v>
      </c>
      <c r="Q464" s="83"/>
      <c r="R464" s="18"/>
      <c r="W464" s="16">
        <f t="shared" si="186"/>
        <v>0</v>
      </c>
    </row>
    <row r="465" spans="1:23" ht="15.6" x14ac:dyDescent="0.3">
      <c r="A465" s="75"/>
      <c r="B465" s="86"/>
      <c r="C465" s="82"/>
      <c r="D465" s="80"/>
      <c r="E465" s="82"/>
      <c r="F465" s="63" t="s">
        <v>26</v>
      </c>
      <c r="G465" s="72">
        <f t="shared" si="188"/>
        <v>5260</v>
      </c>
      <c r="H465" s="72">
        <f t="shared" si="189"/>
        <v>0</v>
      </c>
      <c r="I465" s="72">
        <v>260</v>
      </c>
      <c r="J465" s="72">
        <v>0</v>
      </c>
      <c r="K465" s="72">
        <v>5000</v>
      </c>
      <c r="L465" s="72">
        <v>0</v>
      </c>
      <c r="M465" s="72">
        <v>0</v>
      </c>
      <c r="N465" s="72">
        <v>0</v>
      </c>
      <c r="O465" s="72">
        <v>0</v>
      </c>
      <c r="P465" s="72">
        <v>0</v>
      </c>
      <c r="Q465" s="83"/>
      <c r="R465" s="18"/>
      <c r="W465" s="16">
        <f t="shared" si="186"/>
        <v>260</v>
      </c>
    </row>
    <row r="466" spans="1:23" ht="15.6" x14ac:dyDescent="0.3">
      <c r="A466" s="75"/>
      <c r="B466" s="86"/>
      <c r="C466" s="82"/>
      <c r="D466" s="80"/>
      <c r="E466" s="82"/>
      <c r="F466" s="63" t="s">
        <v>27</v>
      </c>
      <c r="G466" s="72">
        <f t="shared" si="188"/>
        <v>6000</v>
      </c>
      <c r="H466" s="72">
        <f t="shared" si="189"/>
        <v>5000</v>
      </c>
      <c r="I466" s="72">
        <v>1000</v>
      </c>
      <c r="J466" s="72">
        <v>0</v>
      </c>
      <c r="K466" s="72">
        <v>5000</v>
      </c>
      <c r="L466" s="72">
        <v>5000</v>
      </c>
      <c r="M466" s="72">
        <v>0</v>
      </c>
      <c r="N466" s="72">
        <v>0</v>
      </c>
      <c r="O466" s="72">
        <v>0</v>
      </c>
      <c r="P466" s="72">
        <v>0</v>
      </c>
      <c r="Q466" s="83"/>
      <c r="R466" s="18"/>
      <c r="W466" s="16">
        <f t="shared" si="186"/>
        <v>1000</v>
      </c>
    </row>
    <row r="467" spans="1:23" ht="15.6" x14ac:dyDescent="0.3">
      <c r="A467" s="75"/>
      <c r="B467" s="86"/>
      <c r="C467" s="82"/>
      <c r="D467" s="80"/>
      <c r="E467" s="82"/>
      <c r="F467" s="63" t="s">
        <v>28</v>
      </c>
      <c r="G467" s="72">
        <f t="shared" si="188"/>
        <v>6000</v>
      </c>
      <c r="H467" s="72">
        <f t="shared" si="189"/>
        <v>0</v>
      </c>
      <c r="I467" s="72">
        <v>1000</v>
      </c>
      <c r="J467" s="72">
        <v>0</v>
      </c>
      <c r="K467" s="72">
        <v>5000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  <c r="Q467" s="83"/>
      <c r="R467" s="18"/>
      <c r="W467" s="16">
        <f t="shared" si="186"/>
        <v>1000</v>
      </c>
    </row>
    <row r="468" spans="1:23" ht="15.6" x14ac:dyDescent="0.3">
      <c r="A468" s="75"/>
      <c r="B468" s="86"/>
      <c r="C468" s="82"/>
      <c r="D468" s="80"/>
      <c r="E468" s="82"/>
      <c r="F468" s="63" t="s">
        <v>29</v>
      </c>
      <c r="G468" s="72">
        <f t="shared" si="188"/>
        <v>6000</v>
      </c>
      <c r="H468" s="72">
        <f t="shared" si="189"/>
        <v>0</v>
      </c>
      <c r="I468" s="72">
        <v>1000</v>
      </c>
      <c r="J468" s="72">
        <v>0</v>
      </c>
      <c r="K468" s="72">
        <v>5000</v>
      </c>
      <c r="L468" s="72">
        <v>0</v>
      </c>
      <c r="M468" s="72">
        <v>0</v>
      </c>
      <c r="N468" s="72">
        <v>0</v>
      </c>
      <c r="O468" s="72">
        <v>0</v>
      </c>
      <c r="P468" s="72">
        <v>0</v>
      </c>
      <c r="Q468" s="83"/>
      <c r="R468" s="18"/>
      <c r="W468" s="16">
        <f t="shared" si="186"/>
        <v>1000</v>
      </c>
    </row>
    <row r="469" spans="1:23" ht="15.6" x14ac:dyDescent="0.3">
      <c r="A469" s="75"/>
      <c r="B469" s="86"/>
      <c r="C469" s="82"/>
      <c r="D469" s="80"/>
      <c r="E469" s="82"/>
      <c r="F469" s="63" t="s">
        <v>30</v>
      </c>
      <c r="G469" s="72">
        <f t="shared" si="188"/>
        <v>6000</v>
      </c>
      <c r="H469" s="72">
        <f t="shared" si="189"/>
        <v>0</v>
      </c>
      <c r="I469" s="72">
        <v>1000</v>
      </c>
      <c r="J469" s="72">
        <v>0</v>
      </c>
      <c r="K469" s="72">
        <v>5000</v>
      </c>
      <c r="L469" s="72">
        <v>0</v>
      </c>
      <c r="M469" s="72">
        <v>0</v>
      </c>
      <c r="N469" s="72">
        <v>0</v>
      </c>
      <c r="O469" s="72">
        <v>0</v>
      </c>
      <c r="P469" s="72">
        <v>0</v>
      </c>
      <c r="Q469" s="83"/>
      <c r="R469" s="18"/>
      <c r="W469" s="16">
        <f t="shared" si="186"/>
        <v>1000</v>
      </c>
    </row>
    <row r="470" spans="1:23" ht="22.5" customHeight="1" x14ac:dyDescent="0.3">
      <c r="A470" s="76"/>
      <c r="B470" s="87"/>
      <c r="C470" s="82"/>
      <c r="D470" s="81"/>
      <c r="E470" s="82"/>
      <c r="F470" s="63" t="s">
        <v>31</v>
      </c>
      <c r="G470" s="72">
        <f t="shared" si="188"/>
        <v>6000</v>
      </c>
      <c r="H470" s="72">
        <f t="shared" si="189"/>
        <v>0</v>
      </c>
      <c r="I470" s="72">
        <v>1000</v>
      </c>
      <c r="J470" s="72">
        <v>0</v>
      </c>
      <c r="K470" s="72">
        <v>5000</v>
      </c>
      <c r="L470" s="72">
        <v>0</v>
      </c>
      <c r="M470" s="72">
        <v>0</v>
      </c>
      <c r="N470" s="72">
        <v>0</v>
      </c>
      <c r="O470" s="72">
        <v>0</v>
      </c>
      <c r="P470" s="72">
        <v>0</v>
      </c>
      <c r="Q470" s="83"/>
      <c r="R470" s="18"/>
      <c r="W470" s="16">
        <f t="shared" si="186"/>
        <v>1000</v>
      </c>
    </row>
    <row r="471" spans="1:23" ht="12" hidden="1" customHeight="1" x14ac:dyDescent="0.3">
      <c r="A471" s="74"/>
      <c r="B471" s="88" t="s">
        <v>130</v>
      </c>
      <c r="C471" s="79"/>
      <c r="D471" s="79" t="s">
        <v>44</v>
      </c>
      <c r="E471" s="82" t="s">
        <v>124</v>
      </c>
      <c r="F471" s="64" t="s">
        <v>18</v>
      </c>
      <c r="G471" s="72">
        <f>SUM(G473:G482)</f>
        <v>0</v>
      </c>
      <c r="H471" s="72">
        <f t="shared" ref="H471:P471" si="190">SUM(H473:H482)</f>
        <v>0</v>
      </c>
      <c r="I471" s="72">
        <f t="shared" si="190"/>
        <v>0</v>
      </c>
      <c r="J471" s="72">
        <f t="shared" si="190"/>
        <v>0</v>
      </c>
      <c r="K471" s="72">
        <f t="shared" si="190"/>
        <v>0</v>
      </c>
      <c r="L471" s="72">
        <f t="shared" si="190"/>
        <v>0</v>
      </c>
      <c r="M471" s="72">
        <f t="shared" si="190"/>
        <v>0</v>
      </c>
      <c r="N471" s="72">
        <f t="shared" si="190"/>
        <v>0</v>
      </c>
      <c r="O471" s="72">
        <f t="shared" si="190"/>
        <v>0</v>
      </c>
      <c r="P471" s="72">
        <f t="shared" si="190"/>
        <v>0</v>
      </c>
      <c r="Q471" s="91" t="s">
        <v>33</v>
      </c>
      <c r="R471" s="18"/>
      <c r="W471" s="16"/>
    </row>
    <row r="472" spans="1:23" ht="12" hidden="1" customHeight="1" x14ac:dyDescent="0.3">
      <c r="A472" s="75"/>
      <c r="B472" s="89"/>
      <c r="C472" s="80"/>
      <c r="D472" s="80"/>
      <c r="E472" s="82"/>
      <c r="F472" s="63" t="s">
        <v>20</v>
      </c>
      <c r="G472" s="72">
        <v>0</v>
      </c>
      <c r="H472" s="72">
        <v>0</v>
      </c>
      <c r="I472" s="72">
        <v>0</v>
      </c>
      <c r="J472" s="72">
        <v>0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  <c r="P472" s="72">
        <v>0</v>
      </c>
      <c r="Q472" s="92"/>
      <c r="R472" s="18"/>
      <c r="W472" s="16"/>
    </row>
    <row r="473" spans="1:23" ht="14.25" hidden="1" customHeight="1" x14ac:dyDescent="0.3">
      <c r="A473" s="75"/>
      <c r="B473" s="89"/>
      <c r="C473" s="80"/>
      <c r="D473" s="80"/>
      <c r="E473" s="82"/>
      <c r="F473" s="63" t="s">
        <v>22</v>
      </c>
      <c r="G473" s="72">
        <v>0</v>
      </c>
      <c r="H473" s="72">
        <v>0</v>
      </c>
      <c r="I473" s="72">
        <v>0</v>
      </c>
      <c r="J473" s="72">
        <v>0</v>
      </c>
      <c r="K473" s="72">
        <v>0</v>
      </c>
      <c r="L473" s="72">
        <v>0</v>
      </c>
      <c r="M473" s="72">
        <v>0</v>
      </c>
      <c r="N473" s="72">
        <v>0</v>
      </c>
      <c r="O473" s="72">
        <v>0</v>
      </c>
      <c r="P473" s="72">
        <v>0</v>
      </c>
      <c r="Q473" s="92"/>
      <c r="R473" s="18"/>
      <c r="W473" s="16"/>
    </row>
    <row r="474" spans="1:23" ht="13.5" hidden="1" customHeight="1" x14ac:dyDescent="0.3">
      <c r="A474" s="75"/>
      <c r="B474" s="89"/>
      <c r="C474" s="80"/>
      <c r="D474" s="80"/>
      <c r="E474" s="82"/>
      <c r="F474" s="63" t="s">
        <v>23</v>
      </c>
      <c r="G474" s="72">
        <v>0</v>
      </c>
      <c r="H474" s="72">
        <v>0</v>
      </c>
      <c r="I474" s="72">
        <v>0</v>
      </c>
      <c r="J474" s="72">
        <v>0</v>
      </c>
      <c r="K474" s="72">
        <v>0</v>
      </c>
      <c r="L474" s="72">
        <v>0</v>
      </c>
      <c r="M474" s="72">
        <v>0</v>
      </c>
      <c r="N474" s="72">
        <v>0</v>
      </c>
      <c r="O474" s="72">
        <v>0</v>
      </c>
      <c r="P474" s="72">
        <v>0</v>
      </c>
      <c r="Q474" s="92"/>
      <c r="R474" s="18"/>
      <c r="W474" s="16"/>
    </row>
    <row r="475" spans="1:23" ht="12.75" hidden="1" customHeight="1" x14ac:dyDescent="0.3">
      <c r="A475" s="75"/>
      <c r="B475" s="89"/>
      <c r="C475" s="80"/>
      <c r="D475" s="80"/>
      <c r="E475" s="82"/>
      <c r="F475" s="63" t="s">
        <v>24</v>
      </c>
      <c r="G475" s="72">
        <v>0</v>
      </c>
      <c r="H475" s="72">
        <v>0</v>
      </c>
      <c r="I475" s="72">
        <v>0</v>
      </c>
      <c r="J475" s="72">
        <v>0</v>
      </c>
      <c r="K475" s="72">
        <v>0</v>
      </c>
      <c r="L475" s="72">
        <v>0</v>
      </c>
      <c r="M475" s="72">
        <v>0</v>
      </c>
      <c r="N475" s="72">
        <v>0</v>
      </c>
      <c r="O475" s="72">
        <v>0</v>
      </c>
      <c r="P475" s="72">
        <v>0</v>
      </c>
      <c r="Q475" s="92"/>
      <c r="R475" s="18"/>
      <c r="W475" s="16"/>
    </row>
    <row r="476" spans="1:23" ht="12.75" hidden="1" customHeight="1" x14ac:dyDescent="0.3">
      <c r="A476" s="75"/>
      <c r="B476" s="89"/>
      <c r="C476" s="80"/>
      <c r="D476" s="80"/>
      <c r="E476" s="82"/>
      <c r="F476" s="63" t="s">
        <v>25</v>
      </c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  <c r="Q476" s="92"/>
      <c r="R476" s="18"/>
      <c r="W476" s="16"/>
    </row>
    <row r="477" spans="1:23" ht="14.25" hidden="1" customHeight="1" x14ac:dyDescent="0.3">
      <c r="A477" s="75"/>
      <c r="B477" s="89"/>
      <c r="C477" s="80"/>
      <c r="D477" s="80"/>
      <c r="E477" s="82"/>
      <c r="F477" s="63" t="s">
        <v>26</v>
      </c>
      <c r="G477" s="72">
        <v>0</v>
      </c>
      <c r="H477" s="72">
        <v>0</v>
      </c>
      <c r="I477" s="72">
        <v>0</v>
      </c>
      <c r="J477" s="72">
        <v>0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  <c r="Q477" s="92"/>
      <c r="R477" s="18"/>
      <c r="W477" s="16"/>
    </row>
    <row r="478" spans="1:23" ht="12.75" hidden="1" customHeight="1" x14ac:dyDescent="0.3">
      <c r="A478" s="75"/>
      <c r="B478" s="89"/>
      <c r="C478" s="80"/>
      <c r="D478" s="80"/>
      <c r="E478" s="82"/>
      <c r="F478" s="63" t="s">
        <v>27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  <c r="P478" s="72">
        <v>0</v>
      </c>
      <c r="Q478" s="92"/>
      <c r="R478" s="18"/>
      <c r="W478" s="16"/>
    </row>
    <row r="479" spans="1:23" ht="12.75" hidden="1" customHeight="1" x14ac:dyDescent="0.3">
      <c r="A479" s="75"/>
      <c r="B479" s="89"/>
      <c r="C479" s="80"/>
      <c r="D479" s="80"/>
      <c r="E479" s="82"/>
      <c r="F479" s="63" t="s">
        <v>28</v>
      </c>
      <c r="G479" s="72">
        <v>0</v>
      </c>
      <c r="H479" s="72">
        <v>0</v>
      </c>
      <c r="I479" s="72">
        <v>0</v>
      </c>
      <c r="J479" s="72">
        <v>0</v>
      </c>
      <c r="K479" s="72">
        <v>0</v>
      </c>
      <c r="L479" s="72">
        <v>0</v>
      </c>
      <c r="M479" s="72">
        <v>0</v>
      </c>
      <c r="N479" s="72">
        <v>0</v>
      </c>
      <c r="O479" s="72">
        <v>0</v>
      </c>
      <c r="P479" s="72">
        <v>0</v>
      </c>
      <c r="Q479" s="92"/>
      <c r="R479" s="18"/>
      <c r="W479" s="16"/>
    </row>
    <row r="480" spans="1:23" ht="15" hidden="1" customHeight="1" x14ac:dyDescent="0.3">
      <c r="A480" s="75"/>
      <c r="B480" s="89"/>
      <c r="C480" s="80"/>
      <c r="D480" s="80"/>
      <c r="E480" s="82"/>
      <c r="F480" s="63" t="s">
        <v>29</v>
      </c>
      <c r="G480" s="72">
        <v>0</v>
      </c>
      <c r="H480" s="72">
        <v>0</v>
      </c>
      <c r="I480" s="72">
        <v>0</v>
      </c>
      <c r="J480" s="72">
        <v>0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  <c r="Q480" s="92"/>
      <c r="R480" s="18"/>
      <c r="W480" s="16"/>
    </row>
    <row r="481" spans="1:23" ht="13.5" hidden="1" customHeight="1" x14ac:dyDescent="0.3">
      <c r="A481" s="75"/>
      <c r="B481" s="89"/>
      <c r="C481" s="80"/>
      <c r="D481" s="80"/>
      <c r="E481" s="82"/>
      <c r="F481" s="63" t="s">
        <v>30</v>
      </c>
      <c r="G481" s="72">
        <v>0</v>
      </c>
      <c r="H481" s="72">
        <v>0</v>
      </c>
      <c r="I481" s="72">
        <v>0</v>
      </c>
      <c r="J481" s="72">
        <v>0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  <c r="P481" s="72">
        <v>0</v>
      </c>
      <c r="Q481" s="92"/>
      <c r="R481" s="18"/>
      <c r="W481" s="16"/>
    </row>
    <row r="482" spans="1:23" ht="13.5" hidden="1" customHeight="1" x14ac:dyDescent="0.3">
      <c r="A482" s="76"/>
      <c r="B482" s="90"/>
      <c r="C482" s="81"/>
      <c r="D482" s="81"/>
      <c r="E482" s="82"/>
      <c r="F482" s="63" t="s">
        <v>31</v>
      </c>
      <c r="G482" s="72">
        <v>0</v>
      </c>
      <c r="H482" s="72">
        <v>0</v>
      </c>
      <c r="I482" s="72">
        <v>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  <c r="Q482" s="93"/>
      <c r="R482" s="18"/>
      <c r="W482" s="16"/>
    </row>
    <row r="483" spans="1:23" s="13" customFormat="1" ht="15.75" customHeight="1" x14ac:dyDescent="0.3">
      <c r="A483" s="74"/>
      <c r="B483" s="77" t="s">
        <v>129</v>
      </c>
      <c r="C483" s="79"/>
      <c r="D483" s="79" t="s">
        <v>44</v>
      </c>
      <c r="E483" s="82" t="s">
        <v>124</v>
      </c>
      <c r="F483" s="64" t="s">
        <v>18</v>
      </c>
      <c r="G483" s="11">
        <f>SUM(G484:G494)</f>
        <v>5290.8</v>
      </c>
      <c r="H483" s="11">
        <f t="shared" ref="H483" si="191">SUM(H484:H494)</f>
        <v>5290.8</v>
      </c>
      <c r="I483" s="11">
        <f t="shared" ref="I483:P483" si="192">SUM(I484:I494)</f>
        <v>272.8</v>
      </c>
      <c r="J483" s="11">
        <f t="shared" si="192"/>
        <v>272.8</v>
      </c>
      <c r="K483" s="11">
        <f t="shared" si="192"/>
        <v>4867.5</v>
      </c>
      <c r="L483" s="11">
        <f t="shared" si="192"/>
        <v>4867.5</v>
      </c>
      <c r="M483" s="11">
        <f t="shared" si="192"/>
        <v>150.5</v>
      </c>
      <c r="N483" s="11">
        <f t="shared" si="192"/>
        <v>150.5</v>
      </c>
      <c r="O483" s="11">
        <f t="shared" si="192"/>
        <v>0</v>
      </c>
      <c r="P483" s="11">
        <f t="shared" si="192"/>
        <v>0</v>
      </c>
      <c r="Q483" s="83" t="s">
        <v>33</v>
      </c>
      <c r="R483" s="18"/>
      <c r="W483" s="16">
        <f t="shared" ref="W483:W494" si="193">I483-J483</f>
        <v>0</v>
      </c>
    </row>
    <row r="484" spans="1:23" s="6" customFormat="1" ht="15.6" hidden="1" customHeight="1" x14ac:dyDescent="0.3">
      <c r="A484" s="75"/>
      <c r="B484" s="77"/>
      <c r="C484" s="80"/>
      <c r="D484" s="80"/>
      <c r="E484" s="82"/>
      <c r="F484" s="63" t="s">
        <v>20</v>
      </c>
      <c r="G484" s="72">
        <f t="shared" ref="G484:G494" si="194">I484+K484+M484+O484</f>
        <v>0</v>
      </c>
      <c r="H484" s="72">
        <f t="shared" ref="H484:H494" si="195">J484+L484+N484+P484</f>
        <v>0</v>
      </c>
      <c r="I484" s="72"/>
      <c r="J484" s="72"/>
      <c r="K484" s="72"/>
      <c r="L484" s="72"/>
      <c r="M484" s="72"/>
      <c r="N484" s="72"/>
      <c r="O484" s="72"/>
      <c r="P484" s="72"/>
      <c r="Q484" s="83"/>
      <c r="R484" s="37"/>
      <c r="W484" s="16">
        <f t="shared" si="193"/>
        <v>0</v>
      </c>
    </row>
    <row r="485" spans="1:23" ht="15.6" hidden="1" customHeight="1" x14ac:dyDescent="0.3">
      <c r="A485" s="75"/>
      <c r="B485" s="77"/>
      <c r="C485" s="80"/>
      <c r="D485" s="80"/>
      <c r="E485" s="82"/>
      <c r="F485" s="63" t="s">
        <v>22</v>
      </c>
      <c r="G485" s="72">
        <f t="shared" si="194"/>
        <v>0</v>
      </c>
      <c r="H485" s="72">
        <f t="shared" si="195"/>
        <v>0</v>
      </c>
      <c r="I485" s="72"/>
      <c r="J485" s="72"/>
      <c r="K485" s="72"/>
      <c r="L485" s="72"/>
      <c r="M485" s="72"/>
      <c r="N485" s="72"/>
      <c r="O485" s="72"/>
      <c r="P485" s="72"/>
      <c r="Q485" s="83"/>
      <c r="R485" s="18"/>
      <c r="W485" s="16">
        <f t="shared" si="193"/>
        <v>0</v>
      </c>
    </row>
    <row r="486" spans="1:23" ht="15" hidden="1" customHeight="1" x14ac:dyDescent="0.3">
      <c r="A486" s="75"/>
      <c r="B486" s="77"/>
      <c r="C486" s="81"/>
      <c r="D486" s="80"/>
      <c r="E486" s="82"/>
      <c r="F486" s="63" t="s">
        <v>23</v>
      </c>
      <c r="G486" s="72">
        <f t="shared" si="194"/>
        <v>0</v>
      </c>
      <c r="H486" s="72">
        <f t="shared" si="195"/>
        <v>0</v>
      </c>
      <c r="I486" s="72"/>
      <c r="J486" s="72"/>
      <c r="K486" s="72"/>
      <c r="L486" s="72"/>
      <c r="M486" s="72"/>
      <c r="N486" s="72"/>
      <c r="O486" s="72"/>
      <c r="P486" s="72"/>
      <c r="Q486" s="83"/>
      <c r="R486" s="18"/>
      <c r="W486" s="16">
        <f t="shared" si="193"/>
        <v>0</v>
      </c>
    </row>
    <row r="487" spans="1:23" ht="15.6" hidden="1" customHeight="1" x14ac:dyDescent="0.3">
      <c r="A487" s="75"/>
      <c r="B487" s="77"/>
      <c r="C487" s="82" t="s">
        <v>128</v>
      </c>
      <c r="D487" s="80"/>
      <c r="E487" s="82"/>
      <c r="F487" s="63" t="s">
        <v>24</v>
      </c>
      <c r="G487" s="72">
        <f t="shared" si="194"/>
        <v>0</v>
      </c>
      <c r="H487" s="72">
        <f t="shared" si="195"/>
        <v>0</v>
      </c>
      <c r="I487" s="72"/>
      <c r="J487" s="72"/>
      <c r="K487" s="72"/>
      <c r="L487" s="72"/>
      <c r="M487" s="72"/>
      <c r="N487" s="72"/>
      <c r="O487" s="72"/>
      <c r="P487" s="72"/>
      <c r="Q487" s="83"/>
      <c r="R487" s="18"/>
      <c r="W487" s="16">
        <f t="shared" si="193"/>
        <v>0</v>
      </c>
    </row>
    <row r="488" spans="1:23" ht="15.6" x14ac:dyDescent="0.3">
      <c r="A488" s="75"/>
      <c r="B488" s="77"/>
      <c r="C488" s="82"/>
      <c r="D488" s="80"/>
      <c r="E488" s="82"/>
      <c r="F488" s="63" t="s">
        <v>25</v>
      </c>
      <c r="G488" s="72">
        <f t="shared" si="194"/>
        <v>0</v>
      </c>
      <c r="H488" s="72">
        <f t="shared" si="195"/>
        <v>0</v>
      </c>
      <c r="I488" s="72">
        <v>0</v>
      </c>
      <c r="J488" s="72">
        <v>0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  <c r="P488" s="72">
        <f>O488</f>
        <v>0</v>
      </c>
      <c r="Q488" s="83"/>
      <c r="R488" s="18"/>
      <c r="W488" s="16">
        <f t="shared" si="193"/>
        <v>0</v>
      </c>
    </row>
    <row r="489" spans="1:23" ht="15.6" x14ac:dyDescent="0.3">
      <c r="A489" s="75"/>
      <c r="B489" s="77"/>
      <c r="C489" s="82"/>
      <c r="D489" s="80"/>
      <c r="E489" s="82"/>
      <c r="F489" s="63" t="s">
        <v>26</v>
      </c>
      <c r="G489" s="72">
        <f t="shared" si="194"/>
        <v>0</v>
      </c>
      <c r="H489" s="72">
        <f t="shared" si="195"/>
        <v>0</v>
      </c>
      <c r="I489" s="72">
        <v>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  <c r="Q489" s="83"/>
      <c r="R489" s="18"/>
      <c r="W489" s="16">
        <f t="shared" si="193"/>
        <v>0</v>
      </c>
    </row>
    <row r="490" spans="1:23" ht="15.6" x14ac:dyDescent="0.3">
      <c r="A490" s="75"/>
      <c r="B490" s="77"/>
      <c r="C490" s="82"/>
      <c r="D490" s="80"/>
      <c r="E490" s="82"/>
      <c r="F490" s="63" t="s">
        <v>27</v>
      </c>
      <c r="G490" s="72">
        <f t="shared" si="194"/>
        <v>0</v>
      </c>
      <c r="H490" s="72">
        <f t="shared" si="195"/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  <c r="Q490" s="83"/>
      <c r="R490" s="18"/>
      <c r="W490" s="16">
        <f t="shared" si="193"/>
        <v>0</v>
      </c>
    </row>
    <row r="491" spans="1:23" ht="15.6" x14ac:dyDescent="0.3">
      <c r="A491" s="75"/>
      <c r="B491" s="77"/>
      <c r="C491" s="82"/>
      <c r="D491" s="80"/>
      <c r="E491" s="82"/>
      <c r="F491" s="63" t="s">
        <v>28</v>
      </c>
      <c r="G491" s="72">
        <f t="shared" si="194"/>
        <v>0</v>
      </c>
      <c r="H491" s="72">
        <f t="shared" si="195"/>
        <v>0</v>
      </c>
      <c r="I491" s="72">
        <v>0</v>
      </c>
      <c r="J491" s="72">
        <v>0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  <c r="Q491" s="83"/>
      <c r="R491" s="18"/>
      <c r="W491" s="16">
        <f t="shared" si="193"/>
        <v>0</v>
      </c>
    </row>
    <row r="492" spans="1:23" ht="15.6" x14ac:dyDescent="0.3">
      <c r="A492" s="75"/>
      <c r="B492" s="77"/>
      <c r="C492" s="82"/>
      <c r="D492" s="80"/>
      <c r="E492" s="82"/>
      <c r="F492" s="63" t="s">
        <v>29</v>
      </c>
      <c r="G492" s="72">
        <f t="shared" si="194"/>
        <v>5290.8</v>
      </c>
      <c r="H492" s="72">
        <f t="shared" si="195"/>
        <v>5290.8</v>
      </c>
      <c r="I492" s="72">
        <v>272.8</v>
      </c>
      <c r="J492" s="72">
        <f>I492</f>
        <v>272.8</v>
      </c>
      <c r="K492" s="72">
        <v>4867.5</v>
      </c>
      <c r="L492" s="72">
        <f>K492</f>
        <v>4867.5</v>
      </c>
      <c r="M492" s="72">
        <v>150.5</v>
      </c>
      <c r="N492" s="72">
        <f>M492</f>
        <v>150.5</v>
      </c>
      <c r="O492" s="72">
        <v>0</v>
      </c>
      <c r="P492" s="72">
        <v>0</v>
      </c>
      <c r="Q492" s="83"/>
      <c r="R492" s="18"/>
      <c r="W492" s="16">
        <f t="shared" si="193"/>
        <v>0</v>
      </c>
    </row>
    <row r="493" spans="1:23" ht="15.6" x14ac:dyDescent="0.3">
      <c r="A493" s="75"/>
      <c r="B493" s="77"/>
      <c r="C493" s="82"/>
      <c r="D493" s="80"/>
      <c r="E493" s="82"/>
      <c r="F493" s="63" t="s">
        <v>30</v>
      </c>
      <c r="G493" s="72">
        <f t="shared" si="194"/>
        <v>0</v>
      </c>
      <c r="H493" s="72">
        <f t="shared" si="195"/>
        <v>0</v>
      </c>
      <c r="I493" s="72">
        <v>0</v>
      </c>
      <c r="J493" s="72">
        <v>0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  <c r="P493" s="72">
        <v>0</v>
      </c>
      <c r="Q493" s="83"/>
      <c r="R493" s="18"/>
      <c r="W493" s="16">
        <f t="shared" si="193"/>
        <v>0</v>
      </c>
    </row>
    <row r="494" spans="1:23" ht="20.25" customHeight="1" x14ac:dyDescent="0.3">
      <c r="A494" s="76"/>
      <c r="B494" s="78"/>
      <c r="C494" s="82"/>
      <c r="D494" s="81"/>
      <c r="E494" s="82"/>
      <c r="F494" s="63" t="s">
        <v>31</v>
      </c>
      <c r="G494" s="72">
        <f t="shared" si="194"/>
        <v>0</v>
      </c>
      <c r="H494" s="72">
        <f t="shared" si="195"/>
        <v>0</v>
      </c>
      <c r="I494" s="72">
        <v>0</v>
      </c>
      <c r="J494" s="72">
        <v>0</v>
      </c>
      <c r="K494" s="72">
        <v>0</v>
      </c>
      <c r="L494" s="72">
        <v>0</v>
      </c>
      <c r="M494" s="72">
        <v>0</v>
      </c>
      <c r="N494" s="72">
        <v>0</v>
      </c>
      <c r="O494" s="72">
        <v>0</v>
      </c>
      <c r="P494" s="72">
        <v>0</v>
      </c>
      <c r="Q494" s="83"/>
      <c r="R494" s="18"/>
      <c r="W494" s="16">
        <f t="shared" si="193"/>
        <v>0</v>
      </c>
    </row>
    <row r="495" spans="1:23" ht="15.6" x14ac:dyDescent="0.3">
      <c r="A495" s="84"/>
      <c r="B495" s="85" t="s">
        <v>126</v>
      </c>
      <c r="C495" s="74"/>
      <c r="D495" s="74"/>
      <c r="E495" s="74"/>
      <c r="F495" s="64" t="s">
        <v>18</v>
      </c>
      <c r="G495" s="11">
        <f>SUM(G496:G506)</f>
        <v>6647706.1659999955</v>
      </c>
      <c r="H495" s="11">
        <f>SUM(H496:H506)-0.1</f>
        <v>5659814.3659999985</v>
      </c>
      <c r="I495" s="11">
        <f t="shared" ref="I495:O495" si="196">SUM(I496:I506)</f>
        <v>4134556.8699999964</v>
      </c>
      <c r="J495" s="11">
        <f>SUM(J496:J506)-0.1</f>
        <v>3692700.0099999993</v>
      </c>
      <c r="K495" s="11">
        <f t="shared" si="196"/>
        <v>51878.9</v>
      </c>
      <c r="L495" s="11">
        <f t="shared" si="196"/>
        <v>17221.099999999999</v>
      </c>
      <c r="M495" s="11">
        <f t="shared" si="196"/>
        <v>1592460.7959999996</v>
      </c>
      <c r="N495" s="11">
        <f>SUM(N496:N506)</f>
        <v>1081083.6559999995</v>
      </c>
      <c r="O495" s="11">
        <f t="shared" si="196"/>
        <v>868809.59999999951</v>
      </c>
      <c r="P495" s="11">
        <f>SUM(P496:P506)</f>
        <v>868809.59999999951</v>
      </c>
      <c r="Q495" s="43"/>
      <c r="R495" s="18"/>
      <c r="W495" s="16">
        <f t="shared" si="186"/>
        <v>441856.85999999708</v>
      </c>
    </row>
    <row r="496" spans="1:23" s="13" customFormat="1" ht="15.6" x14ac:dyDescent="0.3">
      <c r="A496" s="84"/>
      <c r="B496" s="85"/>
      <c r="C496" s="75"/>
      <c r="D496" s="75"/>
      <c r="E496" s="75"/>
      <c r="F496" s="64" t="s">
        <v>20</v>
      </c>
      <c r="G496" s="11">
        <f t="shared" ref="G496:H506" si="197">I496+K496+M496+O496</f>
        <v>423497.09999999992</v>
      </c>
      <c r="H496" s="11">
        <f>J496+L496+N496+P496</f>
        <v>369330.49999999994</v>
      </c>
      <c r="I496" s="11">
        <f t="shared" ref="I496:K498" si="198">I56+I118+I161+I249</f>
        <v>287072.99999999994</v>
      </c>
      <c r="J496" s="11">
        <f t="shared" ref="J496:P496" si="199">J56+J118+J161+J249</f>
        <v>242825.39999999991</v>
      </c>
      <c r="K496" s="11">
        <f t="shared" si="199"/>
        <v>3225</v>
      </c>
      <c r="L496" s="11">
        <f t="shared" si="199"/>
        <v>0</v>
      </c>
      <c r="M496" s="11">
        <f t="shared" si="199"/>
        <v>69836.899999999994</v>
      </c>
      <c r="N496" s="11">
        <f t="shared" si="199"/>
        <v>63142.9</v>
      </c>
      <c r="O496" s="11">
        <f t="shared" si="199"/>
        <v>63362.2</v>
      </c>
      <c r="P496" s="11">
        <f t="shared" si="199"/>
        <v>63362.2</v>
      </c>
      <c r="Q496" s="43"/>
      <c r="R496" s="18"/>
      <c r="S496" s="82"/>
      <c r="T496" s="82"/>
      <c r="W496" s="16">
        <f t="shared" si="186"/>
        <v>44247.600000000035</v>
      </c>
    </row>
    <row r="497" spans="1:27" s="13" customFormat="1" ht="15.6" x14ac:dyDescent="0.3">
      <c r="A497" s="84"/>
      <c r="B497" s="85"/>
      <c r="C497" s="75"/>
      <c r="D497" s="75"/>
      <c r="E497" s="75"/>
      <c r="F497" s="64" t="s">
        <v>22</v>
      </c>
      <c r="G497" s="11">
        <f t="shared" si="197"/>
        <v>415534.88999999966</v>
      </c>
      <c r="H497" s="11">
        <f t="shared" si="197"/>
        <v>393154.03999999957</v>
      </c>
      <c r="I497" s="11">
        <f t="shared" si="198"/>
        <v>268270.98999999982</v>
      </c>
      <c r="J497" s="11">
        <f t="shared" si="198"/>
        <v>255911.13999999981</v>
      </c>
      <c r="K497" s="11">
        <f t="shared" si="198"/>
        <v>3297.5</v>
      </c>
      <c r="L497" s="11">
        <v>0</v>
      </c>
      <c r="M497" s="11">
        <f t="shared" ref="M497:P498" si="200">M57+M119+M162+M250</f>
        <v>68949.299999999916</v>
      </c>
      <c r="N497" s="11">
        <f t="shared" si="200"/>
        <v>62225.799999999916</v>
      </c>
      <c r="O497" s="11">
        <f t="shared" si="200"/>
        <v>75017.099999999889</v>
      </c>
      <c r="P497" s="11">
        <f t="shared" si="200"/>
        <v>75017.099999999889</v>
      </c>
      <c r="Q497" s="43"/>
      <c r="R497" s="18"/>
      <c r="S497" s="82"/>
      <c r="T497" s="82"/>
      <c r="W497" s="16">
        <f t="shared" si="186"/>
        <v>12359.850000000006</v>
      </c>
    </row>
    <row r="498" spans="1:27" s="13" customFormat="1" ht="15.6" x14ac:dyDescent="0.3">
      <c r="A498" s="84"/>
      <c r="B498" s="85"/>
      <c r="C498" s="75"/>
      <c r="D498" s="75"/>
      <c r="E498" s="75"/>
      <c r="F498" s="64" t="s">
        <v>23</v>
      </c>
      <c r="G498" s="11">
        <f t="shared" si="197"/>
        <v>476059.09599999944</v>
      </c>
      <c r="H498" s="11">
        <f t="shared" si="197"/>
        <v>458652.69599999947</v>
      </c>
      <c r="I498" s="11">
        <f t="shared" si="198"/>
        <v>277844.09999999986</v>
      </c>
      <c r="J498" s="11">
        <f t="shared" si="198"/>
        <v>267597.39999999991</v>
      </c>
      <c r="K498" s="11">
        <f t="shared" si="198"/>
        <v>3135.3</v>
      </c>
      <c r="L498" s="11">
        <f>L58+L120+L163+L251</f>
        <v>0</v>
      </c>
      <c r="M498" s="11">
        <f t="shared" si="200"/>
        <v>112958.0959999997</v>
      </c>
      <c r="N498" s="11">
        <f t="shared" si="200"/>
        <v>108933.69599999969</v>
      </c>
      <c r="O498" s="11">
        <f t="shared" si="200"/>
        <v>82121.599999999875</v>
      </c>
      <c r="P498" s="11">
        <f t="shared" si="200"/>
        <v>82121.599999999875</v>
      </c>
      <c r="Q498" s="43"/>
      <c r="R498" s="18"/>
      <c r="S498" s="82"/>
      <c r="T498" s="82"/>
      <c r="W498" s="16">
        <f t="shared" si="186"/>
        <v>10246.699999999953</v>
      </c>
    </row>
    <row r="499" spans="1:27" s="13" customFormat="1" ht="15.6" x14ac:dyDescent="0.3">
      <c r="A499" s="84"/>
      <c r="B499" s="85"/>
      <c r="C499" s="75"/>
      <c r="D499" s="75"/>
      <c r="E499" s="75"/>
      <c r="F499" s="64" t="s">
        <v>24</v>
      </c>
      <c r="G499" s="11">
        <f t="shared" si="197"/>
        <v>533092.19999999995</v>
      </c>
      <c r="H499" s="11">
        <f t="shared" si="197"/>
        <v>517689.5</v>
      </c>
      <c r="I499" s="11">
        <f t="shared" ref="I499:P499" si="201">I59+I121+I164+I252+I404</f>
        <v>301455.39999999991</v>
      </c>
      <c r="J499" s="11">
        <f t="shared" si="201"/>
        <v>286052.7</v>
      </c>
      <c r="K499" s="11">
        <f t="shared" si="201"/>
        <v>645.6</v>
      </c>
      <c r="L499" s="11">
        <f t="shared" si="201"/>
        <v>645.6</v>
      </c>
      <c r="M499" s="11">
        <f t="shared" si="201"/>
        <v>145737.90000000002</v>
      </c>
      <c r="N499" s="11">
        <f t="shared" si="201"/>
        <v>145737.90000000002</v>
      </c>
      <c r="O499" s="11">
        <f t="shared" si="201"/>
        <v>85253.3</v>
      </c>
      <c r="P499" s="11">
        <f t="shared" si="201"/>
        <v>85253.3</v>
      </c>
      <c r="Q499" s="43"/>
      <c r="R499" s="18"/>
      <c r="S499" s="44"/>
      <c r="T499" s="44"/>
      <c r="W499" s="16">
        <f t="shared" si="186"/>
        <v>15402.699999999895</v>
      </c>
    </row>
    <row r="500" spans="1:27" s="13" customFormat="1" ht="15.6" x14ac:dyDescent="0.3">
      <c r="A500" s="84"/>
      <c r="B500" s="85"/>
      <c r="C500" s="75"/>
      <c r="D500" s="75"/>
      <c r="E500" s="75"/>
      <c r="F500" s="64" t="s">
        <v>25</v>
      </c>
      <c r="G500" s="11">
        <f t="shared" si="197"/>
        <v>548956</v>
      </c>
      <c r="H500" s="11">
        <f>J500+L500+N500+P500</f>
        <v>535926.39999999991</v>
      </c>
      <c r="I500" s="11">
        <f t="shared" ref="I500:I506" si="202">I60+I122+I165+I253+I405+I452</f>
        <v>308889.3</v>
      </c>
      <c r="J500" s="11">
        <f t="shared" ref="J500:P500" si="203">J60+J122+J165+J253+J405+J452</f>
        <v>300567.59999999998</v>
      </c>
      <c r="K500" s="11">
        <f t="shared" si="203"/>
        <v>5000</v>
      </c>
      <c r="L500" s="11">
        <f t="shared" ref="L500:L506" si="204">L60+L122+L165+L253+L405+L452</f>
        <v>5000</v>
      </c>
      <c r="M500" s="11">
        <f t="shared" si="203"/>
        <v>147145.70000000001</v>
      </c>
      <c r="N500" s="11">
        <f t="shared" si="203"/>
        <v>142437.79999999999</v>
      </c>
      <c r="O500" s="11">
        <f t="shared" si="203"/>
        <v>87920.999999999985</v>
      </c>
      <c r="P500" s="11">
        <f t="shared" si="203"/>
        <v>87920.999999999985</v>
      </c>
      <c r="Q500" s="43"/>
      <c r="R500" s="18"/>
      <c r="S500" s="45"/>
      <c r="T500" s="44"/>
      <c r="W500" s="16">
        <f t="shared" si="186"/>
        <v>8321.7000000000116</v>
      </c>
      <c r="Y500" s="46"/>
      <c r="Z500" s="46"/>
      <c r="AA500" s="45"/>
    </row>
    <row r="501" spans="1:27" s="13" customFormat="1" ht="15.6" x14ac:dyDescent="0.3">
      <c r="A501" s="84"/>
      <c r="B501" s="85"/>
      <c r="C501" s="75"/>
      <c r="D501" s="75"/>
      <c r="E501" s="75"/>
      <c r="F501" s="64" t="s">
        <v>26</v>
      </c>
      <c r="G501" s="11">
        <f t="shared" si="197"/>
        <v>590023.17999999993</v>
      </c>
      <c r="H501" s="11">
        <f t="shared" si="197"/>
        <v>506158.91999999993</v>
      </c>
      <c r="I501" s="11">
        <f t="shared" si="202"/>
        <v>375056.28</v>
      </c>
      <c r="J501" s="11">
        <f t="shared" ref="J501:K503" si="205">J61+J123+J166+J254+J406+J453</f>
        <v>342346.82</v>
      </c>
      <c r="K501" s="11">
        <f t="shared" si="205"/>
        <v>5000</v>
      </c>
      <c r="L501" s="11">
        <f t="shared" si="204"/>
        <v>0</v>
      </c>
      <c r="M501" s="11">
        <f t="shared" ref="M501:P506" si="206">M61+M123+M166+M254+M406+M453</f>
        <v>146592.5</v>
      </c>
      <c r="N501" s="11">
        <f t="shared" si="206"/>
        <v>100437.70000000001</v>
      </c>
      <c r="O501" s="11">
        <f t="shared" si="206"/>
        <v>63374.3999999999</v>
      </c>
      <c r="P501" s="11">
        <f t="shared" si="206"/>
        <v>63374.3999999999</v>
      </c>
      <c r="Q501" s="43"/>
      <c r="R501" s="18"/>
      <c r="S501" s="45"/>
      <c r="T501" s="64"/>
      <c r="W501" s="16">
        <f t="shared" si="186"/>
        <v>32709.460000000021</v>
      </c>
      <c r="Y501" s="46"/>
      <c r="Z501" s="46"/>
      <c r="AA501" s="45"/>
    </row>
    <row r="502" spans="1:27" s="13" customFormat="1" ht="15.6" x14ac:dyDescent="0.3">
      <c r="A502" s="84"/>
      <c r="B502" s="85"/>
      <c r="C502" s="75"/>
      <c r="D502" s="75"/>
      <c r="E502" s="75"/>
      <c r="F502" s="64" t="s">
        <v>27</v>
      </c>
      <c r="G502" s="11">
        <f t="shared" si="197"/>
        <v>633548.19999999995</v>
      </c>
      <c r="H502" s="11">
        <f t="shared" si="197"/>
        <v>568527.9</v>
      </c>
      <c r="I502" s="11">
        <f t="shared" si="202"/>
        <v>398073.5</v>
      </c>
      <c r="J502" s="11">
        <f t="shared" si="205"/>
        <v>365252.2</v>
      </c>
      <c r="K502" s="11">
        <f t="shared" si="205"/>
        <v>5416</v>
      </c>
      <c r="L502" s="11">
        <f t="shared" si="204"/>
        <v>5416</v>
      </c>
      <c r="M502" s="11">
        <f t="shared" si="206"/>
        <v>146665.70000000001</v>
      </c>
      <c r="N502" s="11">
        <f t="shared" si="206"/>
        <v>114466.7</v>
      </c>
      <c r="O502" s="11">
        <f t="shared" si="206"/>
        <v>83393</v>
      </c>
      <c r="P502" s="11">
        <f t="shared" si="206"/>
        <v>83393</v>
      </c>
      <c r="Q502" s="43"/>
      <c r="R502" s="18"/>
      <c r="S502" s="45"/>
      <c r="T502" s="64"/>
      <c r="W502" s="16">
        <f t="shared" si="186"/>
        <v>32821.299999999988</v>
      </c>
      <c r="Y502" s="46"/>
      <c r="Z502" s="46"/>
      <c r="AA502" s="45"/>
    </row>
    <row r="503" spans="1:27" s="13" customFormat="1" ht="15" customHeight="1" x14ac:dyDescent="0.3">
      <c r="A503" s="84"/>
      <c r="B503" s="85"/>
      <c r="C503" s="75"/>
      <c r="D503" s="75"/>
      <c r="E503" s="75"/>
      <c r="F503" s="64" t="s">
        <v>28</v>
      </c>
      <c r="G503" s="11">
        <f t="shared" si="197"/>
        <v>685795.34</v>
      </c>
      <c r="H503" s="11">
        <f t="shared" si="197"/>
        <v>628094.86999999976</v>
      </c>
      <c r="I503" s="11">
        <f t="shared" si="202"/>
        <v>445300.24000000005</v>
      </c>
      <c r="J503" s="11">
        <f t="shared" si="205"/>
        <v>415799.68999999994</v>
      </c>
      <c r="K503" s="11">
        <f t="shared" si="205"/>
        <v>5432.8999999999987</v>
      </c>
      <c r="L503" s="11">
        <f t="shared" si="204"/>
        <v>432.89999999999901</v>
      </c>
      <c r="M503" s="11">
        <f t="shared" si="206"/>
        <v>147164</v>
      </c>
      <c r="N503" s="11">
        <f t="shared" si="206"/>
        <v>123964.08000000002</v>
      </c>
      <c r="O503" s="11">
        <f t="shared" si="206"/>
        <v>87898.199999999808</v>
      </c>
      <c r="P503" s="11">
        <f t="shared" si="206"/>
        <v>87898.199999999808</v>
      </c>
      <c r="Q503" s="43"/>
      <c r="R503" s="18"/>
      <c r="S503" s="45"/>
      <c r="T503" s="64"/>
      <c r="W503" s="16">
        <f t="shared" si="186"/>
        <v>29500.550000000105</v>
      </c>
      <c r="Y503" s="46"/>
      <c r="Z503" s="46"/>
      <c r="AA503" s="45"/>
    </row>
    <row r="504" spans="1:27" s="13" customFormat="1" ht="15.6" x14ac:dyDescent="0.3">
      <c r="A504" s="84"/>
      <c r="B504" s="85"/>
      <c r="C504" s="75"/>
      <c r="D504" s="75"/>
      <c r="E504" s="75"/>
      <c r="F504" s="64" t="s">
        <v>29</v>
      </c>
      <c r="G504" s="11">
        <f t="shared" si="197"/>
        <v>801545.79999999877</v>
      </c>
      <c r="H504" s="11">
        <f t="shared" si="197"/>
        <v>724425.6399999999</v>
      </c>
      <c r="I504" s="11">
        <f t="shared" si="202"/>
        <v>494249.4599999988</v>
      </c>
      <c r="J504" s="11">
        <f>J64+J126+J169+J257+J409+J456-0.1</f>
        <v>422129.36</v>
      </c>
      <c r="K504" s="11">
        <f>K64+K126+K169+K257+K409+K456</f>
        <v>10726.6</v>
      </c>
      <c r="L504" s="11">
        <f t="shared" si="204"/>
        <v>5726.6</v>
      </c>
      <c r="M504" s="11">
        <f t="shared" si="206"/>
        <v>204884.74000000002</v>
      </c>
      <c r="N504" s="11">
        <f t="shared" si="206"/>
        <v>204884.68</v>
      </c>
      <c r="O504" s="11">
        <f t="shared" si="206"/>
        <v>91685</v>
      </c>
      <c r="P504" s="11">
        <f t="shared" si="206"/>
        <v>91685</v>
      </c>
      <c r="Q504" s="43"/>
      <c r="R504" s="18"/>
      <c r="S504" s="45"/>
      <c r="T504" s="64"/>
      <c r="W504" s="16">
        <f t="shared" si="186"/>
        <v>72120.099999998813</v>
      </c>
      <c r="Y504" s="44"/>
      <c r="Z504" s="46"/>
      <c r="AA504" s="45"/>
    </row>
    <row r="505" spans="1:27" s="13" customFormat="1" ht="15.6" x14ac:dyDescent="0.3">
      <c r="A505" s="84"/>
      <c r="B505" s="85"/>
      <c r="C505" s="75"/>
      <c r="D505" s="75"/>
      <c r="E505" s="75"/>
      <c r="F505" s="64" t="s">
        <v>30</v>
      </c>
      <c r="G505" s="11">
        <f t="shared" si="197"/>
        <v>769827.17999999889</v>
      </c>
      <c r="H505" s="11">
        <f t="shared" si="197"/>
        <v>479211.99999999994</v>
      </c>
      <c r="I505" s="11">
        <f t="shared" si="202"/>
        <v>489172.29999999882</v>
      </c>
      <c r="J505" s="11">
        <f>J65+J127+J170+J258+J410+J457</f>
        <v>397393.89999999991</v>
      </c>
      <c r="K505" s="11">
        <f>K65+K127+K170+K258+K410+K457</f>
        <v>5000</v>
      </c>
      <c r="L505" s="11">
        <f t="shared" si="204"/>
        <v>0</v>
      </c>
      <c r="M505" s="11">
        <f t="shared" si="206"/>
        <v>201262.98</v>
      </c>
      <c r="N505" s="11">
        <f t="shared" si="206"/>
        <v>7426.2</v>
      </c>
      <c r="O505" s="11">
        <f t="shared" si="206"/>
        <v>74391.900000000009</v>
      </c>
      <c r="P505" s="11">
        <f t="shared" si="206"/>
        <v>74391.900000000009</v>
      </c>
      <c r="Q505" s="43"/>
      <c r="R505" s="18"/>
      <c r="S505" s="45"/>
      <c r="T505" s="64"/>
      <c r="W505" s="16">
        <f t="shared" si="186"/>
        <v>91778.399999998917</v>
      </c>
      <c r="Y505" s="44"/>
      <c r="Z505" s="46"/>
      <c r="AA505" s="45"/>
    </row>
    <row r="506" spans="1:27" s="13" customFormat="1" ht="15.6" x14ac:dyDescent="0.3">
      <c r="A506" s="84"/>
      <c r="B506" s="85"/>
      <c r="C506" s="76"/>
      <c r="D506" s="76"/>
      <c r="E506" s="76"/>
      <c r="F506" s="64" t="s">
        <v>31</v>
      </c>
      <c r="G506" s="11">
        <f t="shared" si="197"/>
        <v>769827.17999999889</v>
      </c>
      <c r="H506" s="11">
        <f t="shared" si="197"/>
        <v>478641.99999999994</v>
      </c>
      <c r="I506" s="11">
        <f t="shared" si="202"/>
        <v>489172.29999999882</v>
      </c>
      <c r="J506" s="11">
        <f>J66+J128+J171+J259+J411+J458</f>
        <v>396823.89999999991</v>
      </c>
      <c r="K506" s="11">
        <f>K66+K128+K171+K259+K411+K458</f>
        <v>5000</v>
      </c>
      <c r="L506" s="11">
        <f t="shared" si="204"/>
        <v>0</v>
      </c>
      <c r="M506" s="11">
        <f t="shared" si="206"/>
        <v>201262.98</v>
      </c>
      <c r="N506" s="11">
        <f t="shared" si="206"/>
        <v>7426.2</v>
      </c>
      <c r="O506" s="11">
        <f t="shared" si="206"/>
        <v>74391.900000000009</v>
      </c>
      <c r="P506" s="11">
        <f t="shared" si="206"/>
        <v>74391.900000000009</v>
      </c>
      <c r="Q506" s="47"/>
      <c r="R506" s="18"/>
      <c r="S506" s="45"/>
      <c r="T506" s="64"/>
      <c r="W506" s="16">
        <f t="shared" si="186"/>
        <v>92348.399999998917</v>
      </c>
      <c r="Y506" s="44"/>
      <c r="Z506" s="46"/>
      <c r="AA506" s="45"/>
    </row>
    <row r="509" spans="1:27" ht="15.6" x14ac:dyDescent="0.3">
      <c r="I509" s="53"/>
      <c r="J509" s="53"/>
      <c r="K509" s="53"/>
    </row>
    <row r="510" spans="1:27" ht="15.6" x14ac:dyDescent="0.3">
      <c r="A510" s="48"/>
      <c r="B510" s="49"/>
      <c r="C510" s="50"/>
      <c r="D510" s="50"/>
      <c r="E510" s="50"/>
      <c r="F510" s="50"/>
      <c r="G510" s="51"/>
      <c r="H510" s="51"/>
      <c r="I510" s="54"/>
      <c r="J510" s="55"/>
      <c r="K510" s="56"/>
      <c r="L510" s="50"/>
    </row>
    <row r="511" spans="1:27" ht="15.6" x14ac:dyDescent="0.3">
      <c r="I511" s="54"/>
      <c r="J511" s="55"/>
      <c r="K511" s="53"/>
      <c r="N511" s="52"/>
    </row>
    <row r="512" spans="1:27" ht="15.6" x14ac:dyDescent="0.3">
      <c r="I512" s="54"/>
      <c r="J512" s="55"/>
      <c r="K512" s="53"/>
    </row>
    <row r="514" spans="10:14" ht="15.75" customHeight="1" x14ac:dyDescent="0.3">
      <c r="J514" s="50"/>
    </row>
    <row r="515" spans="10:14" ht="15.75" customHeight="1" x14ac:dyDescent="0.3">
      <c r="N515" s="52"/>
    </row>
    <row r="517" spans="10:14" ht="15.75" customHeight="1" x14ac:dyDescent="0.3">
      <c r="J517" s="52"/>
    </row>
  </sheetData>
  <mergeCells count="242">
    <mergeCell ref="C435:C446"/>
    <mergeCell ref="A435:A446"/>
    <mergeCell ref="B435:B446"/>
    <mergeCell ref="D435:D446"/>
    <mergeCell ref="E435:E446"/>
    <mergeCell ref="Q435:Q446"/>
    <mergeCell ref="A1:Q1"/>
    <mergeCell ref="A2:Q2"/>
    <mergeCell ref="N3:Q6"/>
    <mergeCell ref="A8:Q8"/>
    <mergeCell ref="A12:A14"/>
    <mergeCell ref="B12:B14"/>
    <mergeCell ref="C12:C14"/>
    <mergeCell ref="D12:D14"/>
    <mergeCell ref="E12:E14"/>
    <mergeCell ref="F12:F14"/>
    <mergeCell ref="G12:H13"/>
    <mergeCell ref="I12:P12"/>
    <mergeCell ref="Q12:Q13"/>
    <mergeCell ref="I13:J13"/>
    <mergeCell ref="K13:L13"/>
    <mergeCell ref="M13:N13"/>
    <mergeCell ref="O13:P13"/>
    <mergeCell ref="A16:Q16"/>
    <mergeCell ref="A17:Q17"/>
    <mergeCell ref="A18:Q18"/>
    <mergeCell ref="A19:A30"/>
    <mergeCell ref="B19:B30"/>
    <mergeCell ref="Q19:Q30"/>
    <mergeCell ref="C21:C30"/>
    <mergeCell ref="A31:A42"/>
    <mergeCell ref="B31:B42"/>
    <mergeCell ref="Q31:Q42"/>
    <mergeCell ref="C33:C42"/>
    <mergeCell ref="A43:A54"/>
    <mergeCell ref="B43:B54"/>
    <mergeCell ref="Q43:Q54"/>
    <mergeCell ref="C45:C54"/>
    <mergeCell ref="A55:A116"/>
    <mergeCell ref="Q55:Q116"/>
    <mergeCell ref="B56:B66"/>
    <mergeCell ref="D56:D66"/>
    <mergeCell ref="E56:E66"/>
    <mergeCell ref="C57:C66"/>
    <mergeCell ref="B93:B104"/>
    <mergeCell ref="D93:D104"/>
    <mergeCell ref="E93:E104"/>
    <mergeCell ref="C95:C104"/>
    <mergeCell ref="B105:B116"/>
    <mergeCell ref="D106:D116"/>
    <mergeCell ref="E106:E116"/>
    <mergeCell ref="C107:C116"/>
    <mergeCell ref="D43:D54"/>
    <mergeCell ref="E43:E54"/>
    <mergeCell ref="S58:T59"/>
    <mergeCell ref="B67:B78"/>
    <mergeCell ref="D68:D78"/>
    <mergeCell ref="E68:E78"/>
    <mergeCell ref="C70:C78"/>
    <mergeCell ref="B79:B85"/>
    <mergeCell ref="C79:C81"/>
    <mergeCell ref="G81:P85"/>
    <mergeCell ref="B86:B92"/>
    <mergeCell ref="A117:A147"/>
    <mergeCell ref="Q117:Q147"/>
    <mergeCell ref="B118:B128"/>
    <mergeCell ref="D118:D128"/>
    <mergeCell ref="E118:E128"/>
    <mergeCell ref="C119:C128"/>
    <mergeCell ref="S120:T121"/>
    <mergeCell ref="B129:B140"/>
    <mergeCell ref="D129:D140"/>
    <mergeCell ref="E129:E140"/>
    <mergeCell ref="C132:C140"/>
    <mergeCell ref="B141:B147"/>
    <mergeCell ref="C141:C143"/>
    <mergeCell ref="G143:P147"/>
    <mergeCell ref="B148:B159"/>
    <mergeCell ref="C148:C159"/>
    <mergeCell ref="D148:D159"/>
    <mergeCell ref="E148:E159"/>
    <mergeCell ref="A160:A247"/>
    <mergeCell ref="Q160:Q247"/>
    <mergeCell ref="B161:B171"/>
    <mergeCell ref="D161:D171"/>
    <mergeCell ref="E161:E171"/>
    <mergeCell ref="C162:C171"/>
    <mergeCell ref="B196:B207"/>
    <mergeCell ref="D196:D201"/>
    <mergeCell ref="E196:E201"/>
    <mergeCell ref="C198:C200"/>
    <mergeCell ref="G201:P201"/>
    <mergeCell ref="B208:B214"/>
    <mergeCell ref="C208:C210"/>
    <mergeCell ref="E208:E210"/>
    <mergeCell ref="G210:P214"/>
    <mergeCell ref="B215:B221"/>
    <mergeCell ref="C215:C217"/>
    <mergeCell ref="E215:E217"/>
    <mergeCell ref="G217:P221"/>
    <mergeCell ref="B222:B228"/>
    <mergeCell ref="S162:T164"/>
    <mergeCell ref="B172:B183"/>
    <mergeCell ref="D173:D183"/>
    <mergeCell ref="E173:E183"/>
    <mergeCell ref="C175:C183"/>
    <mergeCell ref="B184:B195"/>
    <mergeCell ref="D185:D190"/>
    <mergeCell ref="E185:E190"/>
    <mergeCell ref="C186:C195"/>
    <mergeCell ref="G190:P190"/>
    <mergeCell ref="C222:C224"/>
    <mergeCell ref="E222:E224"/>
    <mergeCell ref="G224:P228"/>
    <mergeCell ref="B229:B235"/>
    <mergeCell ref="B236:B247"/>
    <mergeCell ref="D236:D247"/>
    <mergeCell ref="E236:E247"/>
    <mergeCell ref="C238:C247"/>
    <mergeCell ref="A248:A351"/>
    <mergeCell ref="D248:D259"/>
    <mergeCell ref="E248:E259"/>
    <mergeCell ref="G314:P318"/>
    <mergeCell ref="B319:B325"/>
    <mergeCell ref="C319:C321"/>
    <mergeCell ref="E319:E321"/>
    <mergeCell ref="G321:P325"/>
    <mergeCell ref="B326:B332"/>
    <mergeCell ref="C326:C328"/>
    <mergeCell ref="E326:E328"/>
    <mergeCell ref="G328:P332"/>
    <mergeCell ref="B333:B339"/>
    <mergeCell ref="C333:C335"/>
    <mergeCell ref="E333:E335"/>
    <mergeCell ref="G335:P339"/>
    <mergeCell ref="Q248:Q351"/>
    <mergeCell ref="B249:B259"/>
    <mergeCell ref="C250:C259"/>
    <mergeCell ref="S251:T253"/>
    <mergeCell ref="B260:B271"/>
    <mergeCell ref="D260:D271"/>
    <mergeCell ref="E260:E271"/>
    <mergeCell ref="C263:C271"/>
    <mergeCell ref="B272:B283"/>
    <mergeCell ref="D273:D283"/>
    <mergeCell ref="E273:E283"/>
    <mergeCell ref="C274:C283"/>
    <mergeCell ref="B284:B290"/>
    <mergeCell ref="C284:C286"/>
    <mergeCell ref="G286:P290"/>
    <mergeCell ref="B291:B297"/>
    <mergeCell ref="C291:C293"/>
    <mergeCell ref="E291:E293"/>
    <mergeCell ref="G293:P297"/>
    <mergeCell ref="B298:B304"/>
    <mergeCell ref="B305:B311"/>
    <mergeCell ref="B312:B318"/>
    <mergeCell ref="C312:C314"/>
    <mergeCell ref="E312:E314"/>
    <mergeCell ref="B340:B351"/>
    <mergeCell ref="D340:D351"/>
    <mergeCell ref="E340:E351"/>
    <mergeCell ref="C342:C351"/>
    <mergeCell ref="A352:A363"/>
    <mergeCell ref="B352:B363"/>
    <mergeCell ref="C352:C355"/>
    <mergeCell ref="D352:D363"/>
    <mergeCell ref="E352:E363"/>
    <mergeCell ref="Q352:Q363"/>
    <mergeCell ref="C356:C363"/>
    <mergeCell ref="A364:A375"/>
    <mergeCell ref="B364:B375"/>
    <mergeCell ref="C364:C367"/>
    <mergeCell ref="D364:D375"/>
    <mergeCell ref="E364:E375"/>
    <mergeCell ref="Q364:Q375"/>
    <mergeCell ref="C368:C375"/>
    <mergeCell ref="C428:C431"/>
    <mergeCell ref="Q428:Q434"/>
    <mergeCell ref="C432:C434"/>
    <mergeCell ref="A376:A387"/>
    <mergeCell ref="B376:B387"/>
    <mergeCell ref="C376:C379"/>
    <mergeCell ref="D376:D387"/>
    <mergeCell ref="E376:E387"/>
    <mergeCell ref="Q376:Q387"/>
    <mergeCell ref="C380:C387"/>
    <mergeCell ref="A388:A399"/>
    <mergeCell ref="B388:B399"/>
    <mergeCell ref="C388:C391"/>
    <mergeCell ref="D388:D399"/>
    <mergeCell ref="E388:E399"/>
    <mergeCell ref="Q388:Q399"/>
    <mergeCell ref="C392:C399"/>
    <mergeCell ref="Q459:Q470"/>
    <mergeCell ref="C463:C470"/>
    <mergeCell ref="A495:A506"/>
    <mergeCell ref="B495:B506"/>
    <mergeCell ref="C495:C506"/>
    <mergeCell ref="D495:D506"/>
    <mergeCell ref="E495:E506"/>
    <mergeCell ref="Q400:Q406"/>
    <mergeCell ref="A401:A434"/>
    <mergeCell ref="B401:B406"/>
    <mergeCell ref="C404:C406"/>
    <mergeCell ref="B407:B413"/>
    <mergeCell ref="C407:C410"/>
    <mergeCell ref="Q407:Q413"/>
    <mergeCell ref="C411:C413"/>
    <mergeCell ref="B414:B420"/>
    <mergeCell ref="C414:C417"/>
    <mergeCell ref="Q414:Q420"/>
    <mergeCell ref="C418:C420"/>
    <mergeCell ref="B421:B427"/>
    <mergeCell ref="C421:C424"/>
    <mergeCell ref="Q421:Q427"/>
    <mergeCell ref="C425:C427"/>
    <mergeCell ref="B428:B434"/>
    <mergeCell ref="A483:A494"/>
    <mergeCell ref="B483:B494"/>
    <mergeCell ref="C483:C486"/>
    <mergeCell ref="D483:D494"/>
    <mergeCell ref="E483:E494"/>
    <mergeCell ref="Q483:Q494"/>
    <mergeCell ref="C487:C494"/>
    <mergeCell ref="S496:T498"/>
    <mergeCell ref="D447:D458"/>
    <mergeCell ref="E447:E458"/>
    <mergeCell ref="A448:A458"/>
    <mergeCell ref="B448:B458"/>
    <mergeCell ref="C449:C458"/>
    <mergeCell ref="A459:A470"/>
    <mergeCell ref="B459:B470"/>
    <mergeCell ref="C459:C462"/>
    <mergeCell ref="D459:D470"/>
    <mergeCell ref="E459:E470"/>
    <mergeCell ref="A471:A482"/>
    <mergeCell ref="B471:B482"/>
    <mergeCell ref="C471:C482"/>
    <mergeCell ref="D471:D482"/>
    <mergeCell ref="E471:E482"/>
    <mergeCell ref="Q471:Q482"/>
  </mergeCells>
  <pageMargins left="0.15748031496062992" right="0.15748031496062992" top="0.19685039370078741" bottom="0.19685039370078741" header="0.31496062992125984" footer="0.31496062992125984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Витковская Светлана Михайловна</cp:lastModifiedBy>
  <cp:revision>2</cp:revision>
  <cp:lastPrinted>2023-12-28T03:46:03Z</cp:lastPrinted>
  <dcterms:created xsi:type="dcterms:W3CDTF">2014-06-24T05:35:00Z</dcterms:created>
  <dcterms:modified xsi:type="dcterms:W3CDTF">2024-01-30T08:27:35Z</dcterms:modified>
  <cp:version>786432</cp:version>
</cp:coreProperties>
</file>